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fileSharing readOnlyRecommended="1"/>
  <workbookPr updateLinks="never" codeName="ThisWorkbook" defaultThemeVersion="124226"/>
  <mc:AlternateContent xmlns:mc="http://schemas.openxmlformats.org/markup-compatibility/2006">
    <mc:Choice Requires="x15">
      <x15ac:absPath xmlns:x15ac="http://schemas.microsoft.com/office/spreadsheetml/2010/11/ac" url="C:\Users\Malcolm\Desktop\"/>
    </mc:Choice>
  </mc:AlternateContent>
  <bookViews>
    <workbookView xWindow="0" yWindow="0" windowWidth="14370" windowHeight="12390" tabRatio="727"/>
  </bookViews>
  <sheets>
    <sheet name="TITLE PAGE" sheetId="19" r:id="rId1"/>
    <sheet name="Status" sheetId="1" r:id="rId2"/>
    <sheet name="Radionuclides" sheetId="15" r:id="rId3"/>
    <sheet name="Other parameters" sheetId="9" r:id="rId4"/>
    <sheet name="Intermediate calcs" sheetId="7" r:id="rId5"/>
    <sheet name="Individual doses" sheetId="16" r:id="rId6"/>
    <sheet name="Collective doses" sheetId="17" r:id="rId7"/>
  </sheets>
  <externalReferences>
    <externalReference r:id="rId8"/>
  </externalReferences>
  <definedNames>
    <definedName name="Conc_Home">'Intermediate calcs'!$A$1</definedName>
    <definedName name="Interim_Cuw_large">'Intermediate calcs'!$C$6</definedName>
    <definedName name="Interim_Cuw_small">'Intermediate calcs'!$B$6</definedName>
    <definedName name="Interim_dirr_large">'Intermediate calcs'!$C$7</definedName>
    <definedName name="Interim_dirr_small">'Intermediate calcs'!$B$7</definedName>
    <definedName name="Interim_regional_data">'Intermediate calcs'!$A$49:$H$55</definedName>
    <definedName name="Nuke_home">Radionuclides!$A$1</definedName>
    <definedName name="Other_A_mun">'Other parameters'!$C$44</definedName>
    <definedName name="Other_alpha_large">'Other parameters'!$C$51</definedName>
    <definedName name="Other_alpha_small">'Other parameters'!$C$50</definedName>
    <definedName name="Other_area_x1x2">'[1]Other parameters'!$C$60</definedName>
    <definedName name="Other_area_x2x3">'[1]Other parameters'!$C$61</definedName>
    <definedName name="Other_area_x3x4">'[1]Other parameters'!$C$62</definedName>
    <definedName name="Other_area_x4x5">'[1]Other parameters'!$C$63</definedName>
    <definedName name="Other_CDc_cereal">'Other parameters'!$C$38</definedName>
    <definedName name="Other_CDc_veg">'Other parameters'!$C$39</definedName>
    <definedName name="Other_CR_sa">'[1]Other parameters'!$C$83</definedName>
    <definedName name="Other_CRa_HTO_meat">'[1]Other parameters'!$C$85</definedName>
    <definedName name="Other_CRa_HTO_milk">'[1]Other parameters'!$C$84</definedName>
    <definedName name="Other_CRa_OBT_meat">'[1]Other parameters'!$C$91</definedName>
    <definedName name="Other_CRa_OBT_milk">'[1]Other parameters'!$C$90</definedName>
    <definedName name="Other_D_1">'[1]Other parameters'!$C$48</definedName>
    <definedName name="Other_DC_Rn222">'[1]Other parameters'!$C$95</definedName>
    <definedName name="Other_EF_Rn222_in">'[1]Other parameters'!$C$96</definedName>
    <definedName name="Other_EF_Rn222_out">'[1]Other parameters'!$C$98</definedName>
    <definedName name="Other_f_c">'[1]Other parameters'!$C$76</definedName>
    <definedName name="Other_F_dw">'Other parameters'!$C$45</definedName>
    <definedName name="Other_F_geom">'Other parameters'!$C$53</definedName>
    <definedName name="Other_F_irr">'Other parameters'!$C$20</definedName>
    <definedName name="Other_F_local" localSheetId="0">'[1]Other parameters'!$C$100</definedName>
    <definedName name="Other_F_local">'Other parameters'!$C$52</definedName>
    <definedName name="Other_F_local_coll">'[1]Other parameters'!$C$101</definedName>
    <definedName name="Other_Fc">'Other parameters'!$C$40</definedName>
    <definedName name="Other_food_cons">'[1]Other parameters'!$A$6:$E$12</definedName>
    <definedName name="Other_Fr_large">'Other parameters'!$C$18</definedName>
    <definedName name="Other_Fr_small">'Other parameters'!$C$17</definedName>
    <definedName name="Other_gamma" localSheetId="0">'[1]Other parameters'!$C$80</definedName>
    <definedName name="Other_gamma">'Other parameters'!$C$34</definedName>
    <definedName name="Other_H_a">'[1]Other parameters'!$C$81</definedName>
    <definedName name="Other_h_per_d">'[1]Other parameters'!$C$94</definedName>
    <definedName name="Other_home">'Other parameters'!$A$1</definedName>
    <definedName name="Other_I_inh">'[1]Other parameters'!$C$64</definedName>
    <definedName name="Other_I_irr">'Other parameters'!$C$19</definedName>
    <definedName name="Other_I_water">'Other parameters'!$C$25</definedName>
    <definedName name="Other_L_cloud">'[1]Other parameters'!$C$68</definedName>
    <definedName name="Other_L_deposit">'[1]Other parameters'!$C$69</definedName>
    <definedName name="Other_Lriver_large">'Other parameters'!$C$49</definedName>
    <definedName name="Other_Lriver_small">'Other parameters'!$C$48</definedName>
    <definedName name="Other_O_ann_s">'[1]Other parameters'!$C$66</definedName>
    <definedName name="Other_O_out">'[1]Other parameters'!$C$67</definedName>
    <definedName name="Other_O_riverbank">'Other parameters'!$C$29</definedName>
    <definedName name="Other_O_Rn222_in">'[1]Other parameters'!$C$97</definedName>
    <definedName name="Other_O_Rn222_out">'[1]Other parameters'!$C$99</definedName>
    <definedName name="Other_P">'Other parameters'!$C$30</definedName>
    <definedName name="Other_P_river">'Other parameters'!$C$26</definedName>
    <definedName name="Other_pop_coastal">'[1]Other parameters'!$A$16:$F$22</definedName>
    <definedName name="Other_pop_generic">'[1]Other parameters'!$A$34:$F$40</definedName>
    <definedName name="Other_pop_inland">'[1]Other parameters'!$A$23:$F$29</definedName>
    <definedName name="Other_pop_remote">'[1]Other parameters'!$A$45:$G$45</definedName>
    <definedName name="Other_Q" localSheetId="0">'[1]Other parameters'!$C$49</definedName>
    <definedName name="Other_Q">'Other parameters'!$C$16</definedName>
    <definedName name="Other_R_f">'Other parameters'!$C$24</definedName>
    <definedName name="Other_regional_data">'Other parameters'!$A$7:$I$13</definedName>
    <definedName name="Other_RH" localSheetId="0">'[1]Other parameters'!$C$82</definedName>
    <definedName name="Other_RH">'Other parameters'!$C$33</definedName>
    <definedName name="other_rho_sed">'Other parameters'!$C$27</definedName>
    <definedName name="Other_Rp" localSheetId="0">'[1]Other parameters'!$C$89</definedName>
    <definedName name="Other_Rp">'Other parameters'!$C$35</definedName>
    <definedName name="Other_S_air">'[1]Other parameters'!$C$70</definedName>
    <definedName name="Other_Sa_meat">'[1]Other parameters'!$C$74</definedName>
    <definedName name="Other_Sa_milk">'[1]Other parameters'!$C$75</definedName>
    <definedName name="Other_sec_day">'Other parameters'!$C$21</definedName>
    <definedName name="Other_Sp_cereal" localSheetId="0">'[1]Other parameters'!$C$71</definedName>
    <definedName name="Other_Sp_cereal">'Other parameters'!$C$41</definedName>
    <definedName name="Other_Sp_pasture">'[1]Other parameters'!$C$73</definedName>
    <definedName name="Other_Sp_veg">'Other parameters'!$C$42</definedName>
    <definedName name="Other_Sp_vegetables">'[1]Other parameters'!$C$72</definedName>
    <definedName name="Other_t_discharge">'[1]Other parameters'!$C$103</definedName>
    <definedName name="Other_T_dw">'Other parameters'!$C$43</definedName>
    <definedName name="Other_t_sed">'Other parameters'!$C$28</definedName>
    <definedName name="Other_ua_km">'[1]Other parameters'!$C$93</definedName>
    <definedName name="Other_WC_f">'Other parameters'!$C$22</definedName>
    <definedName name="Other_WCp_cereal" localSheetId="0">'[1]Other parameters'!$C$77</definedName>
    <definedName name="Other_WCp_cereal">'Other parameters'!$C$31</definedName>
    <definedName name="Other_WCp_pasture">'[1]Other parameters'!$C$79</definedName>
    <definedName name="Other_WCp_veg" localSheetId="0">'[1]Other parameters'!$C$78</definedName>
    <definedName name="Other_WCp_veg">'Other parameters'!$C$32</definedName>
    <definedName name="Other_WEQ_cereal">'[1]Other parameters'!$C$86</definedName>
    <definedName name="Other_WEQ_f">'Other parameters'!$C$23</definedName>
    <definedName name="Other_WEQ_pasture">'[1]Other parameters'!$C$88</definedName>
    <definedName name="Other_WEQ_veg">'[1]Other parameters'!$C$87</definedName>
    <definedName name="Other_WEQp_cereal">'Other parameters'!$C$36</definedName>
    <definedName name="Other_WEQp_veg">'Other parameters'!$C$37</definedName>
    <definedName name="Other_x_1">'[1]Other parameters'!$C$56</definedName>
    <definedName name="Other_x_2">'[1]Other parameters'!$C$57</definedName>
    <definedName name="Other_x_3">'[1]Other parameters'!$C$58</definedName>
    <definedName name="Other_x_4">'[1]Other parameters'!$C$59</definedName>
    <definedName name="Other_x_typical">'[1]Other parameters'!$C$50</definedName>
    <definedName name="Other_Yffw_large">'Other parameters'!$C$47</definedName>
    <definedName name="Other_Yffw_small">'Other parameters'!$C$46</definedName>
    <definedName name="Other_yield_Ba137m" localSheetId="0">'[1]Other parameters'!$C$102</definedName>
    <definedName name="Other_yield_Ba137m">'Other parameters'!$C$54</definedName>
    <definedName name="_xlnm.Print_Area" localSheetId="4">'Intermediate calcs'!$A$1:$T$315</definedName>
    <definedName name="_xlnm.Print_Titles" localSheetId="2">Radionuclides!$4:$8</definedName>
    <definedName name="Radionuclide_specific" localSheetId="0">[1]Radionuclides!$9:$55</definedName>
    <definedName name="Radionuclide_specific">Radionuclides!$9:$47</definedName>
    <definedName name="Status_home">Status!$A$1</definedName>
  </definedNames>
  <calcPr calcId="171027"/>
</workbook>
</file>

<file path=xl/calcChain.xml><?xml version="1.0" encoding="utf-8"?>
<calcChain xmlns="http://schemas.openxmlformats.org/spreadsheetml/2006/main">
  <c r="T15" i="7" l="1"/>
  <c r="S15" i="7"/>
  <c r="D38" i="15" l="1"/>
  <c r="C38" i="15"/>
  <c r="S25" i="7" l="1"/>
  <c r="T25" i="7"/>
  <c r="D22" i="15"/>
  <c r="C22" i="15"/>
  <c r="S16" i="7" l="1"/>
  <c r="T16" i="7"/>
  <c r="S17" i="7"/>
  <c r="T17" i="7"/>
  <c r="D23" i="15" l="1"/>
  <c r="C23" i="15"/>
  <c r="D15" i="15"/>
  <c r="C15" i="15"/>
  <c r="C55" i="7" l="1"/>
  <c r="D55" i="7"/>
  <c r="T12" i="7"/>
  <c r="S12" i="7"/>
  <c r="C13" i="9" l="1"/>
  <c r="B13" i="9"/>
  <c r="S38" i="7" l="1"/>
  <c r="T38" i="7"/>
  <c r="S26" i="7" l="1"/>
  <c r="T26" i="7"/>
  <c r="S19" i="7"/>
  <c r="T19" i="7"/>
  <c r="N14" i="16" l="1"/>
  <c r="N51" i="16" s="1"/>
  <c r="N88" i="16" s="1"/>
  <c r="N125" i="16" s="1"/>
  <c r="N162" i="16" s="1"/>
  <c r="N199" i="16" s="1"/>
  <c r="M14" i="16"/>
  <c r="M51" i="16" s="1"/>
  <c r="M88" i="16" s="1"/>
  <c r="M125" i="16" s="1"/>
  <c r="M162" i="16" s="1"/>
  <c r="M199" i="16" s="1"/>
  <c r="C29" i="9"/>
  <c r="M10" i="16" l="1"/>
  <c r="M47" i="16" s="1"/>
  <c r="M84" i="16" s="1"/>
  <c r="M121" i="16" s="1"/>
  <c r="M158" i="16" s="1"/>
  <c r="M195" i="16" s="1"/>
  <c r="N10" i="16"/>
  <c r="N47" i="16" s="1"/>
  <c r="N84" i="16" s="1"/>
  <c r="N121" i="16" s="1"/>
  <c r="N158" i="16" s="1"/>
  <c r="N195" i="16" s="1"/>
  <c r="N20" i="16"/>
  <c r="N57" i="16" s="1"/>
  <c r="N94" i="16" s="1"/>
  <c r="N131" i="16" s="1"/>
  <c r="N168" i="16" s="1"/>
  <c r="N205" i="16" s="1"/>
  <c r="M20" i="16"/>
  <c r="M57" i="16" s="1"/>
  <c r="M94" i="16" s="1"/>
  <c r="M131" i="16" s="1"/>
  <c r="M168" i="16" s="1"/>
  <c r="M205" i="16" s="1"/>
  <c r="N11" i="16"/>
  <c r="N48" i="16" s="1"/>
  <c r="N85" i="16" s="1"/>
  <c r="N122" i="16" s="1"/>
  <c r="N159" i="16" s="1"/>
  <c r="N196" i="16" s="1"/>
  <c r="M11" i="16"/>
  <c r="M48" i="16" s="1"/>
  <c r="M85" i="16" s="1"/>
  <c r="M122" i="16" s="1"/>
  <c r="M159" i="16" s="1"/>
  <c r="M196" i="16" s="1"/>
  <c r="N12" i="16"/>
  <c r="N49" i="16" s="1"/>
  <c r="N86" i="16" s="1"/>
  <c r="N123" i="16" s="1"/>
  <c r="N160" i="16" s="1"/>
  <c r="N197" i="16" s="1"/>
  <c r="M12" i="16"/>
  <c r="M49" i="16" s="1"/>
  <c r="M86" i="16" s="1"/>
  <c r="M123" i="16" s="1"/>
  <c r="M160" i="16" s="1"/>
  <c r="M197" i="16" s="1"/>
  <c r="M33" i="16"/>
  <c r="M70" i="16" s="1"/>
  <c r="M107" i="16" s="1"/>
  <c r="M144" i="16" s="1"/>
  <c r="M181" i="16" s="1"/>
  <c r="M218" i="16" s="1"/>
  <c r="N33" i="16"/>
  <c r="N70" i="16" s="1"/>
  <c r="N107" i="16" s="1"/>
  <c r="N144" i="16" s="1"/>
  <c r="N181" i="16" s="1"/>
  <c r="N218" i="16" s="1"/>
  <c r="N21" i="16"/>
  <c r="N58" i="16" s="1"/>
  <c r="N95" i="16" s="1"/>
  <c r="N132" i="16" s="1"/>
  <c r="N169" i="16" s="1"/>
  <c r="N206" i="16" s="1"/>
  <c r="M21" i="16"/>
  <c r="M58" i="16" s="1"/>
  <c r="M95" i="16" s="1"/>
  <c r="M132" i="16" s="1"/>
  <c r="M169" i="16" s="1"/>
  <c r="M206" i="16" s="1"/>
  <c r="D47" i="15"/>
  <c r="C47" i="15"/>
  <c r="D17" i="15"/>
  <c r="C17" i="15"/>
  <c r="E11" i="9" l="1"/>
  <c r="E9" i="9"/>
  <c r="E12" i="9"/>
  <c r="E10" i="9"/>
  <c r="E8" i="9"/>
  <c r="E7" i="9"/>
  <c r="C6" i="7"/>
  <c r="B6" i="7"/>
  <c r="C99" i="7" l="1"/>
  <c r="C15" i="7"/>
  <c r="E15" i="7" s="1"/>
  <c r="K10" i="16"/>
  <c r="K47" i="16" s="1"/>
  <c r="K84" i="16" s="1"/>
  <c r="K121" i="16" s="1"/>
  <c r="K158" i="16" s="1"/>
  <c r="K195" i="16" s="1"/>
  <c r="C25" i="7"/>
  <c r="E25" i="7" s="1"/>
  <c r="K20" i="16"/>
  <c r="K57" i="16" s="1"/>
  <c r="K94" i="16" s="1"/>
  <c r="K131" i="16" s="1"/>
  <c r="K168" i="16" s="1"/>
  <c r="K205" i="16" s="1"/>
  <c r="L10" i="16"/>
  <c r="L47" i="16" s="1"/>
  <c r="L84" i="16" s="1"/>
  <c r="L121" i="16" s="1"/>
  <c r="L158" i="16" s="1"/>
  <c r="L195" i="16" s="1"/>
  <c r="D15" i="7"/>
  <c r="F15" i="7" s="1"/>
  <c r="D99" i="7"/>
  <c r="L20" i="16"/>
  <c r="L57" i="16" s="1"/>
  <c r="L94" i="16" s="1"/>
  <c r="L131" i="16" s="1"/>
  <c r="L168" i="16" s="1"/>
  <c r="L205" i="16" s="1"/>
  <c r="D25" i="7"/>
  <c r="F25" i="7" s="1"/>
  <c r="L12" i="16"/>
  <c r="L49" i="16" s="1"/>
  <c r="L86" i="16" s="1"/>
  <c r="L123" i="16" s="1"/>
  <c r="L160" i="16" s="1"/>
  <c r="L197" i="16" s="1"/>
  <c r="D16" i="7"/>
  <c r="F16" i="7" s="1"/>
  <c r="L11" i="16"/>
  <c r="L48" i="16" s="1"/>
  <c r="L85" i="16" s="1"/>
  <c r="L122" i="16" s="1"/>
  <c r="L159" i="16" s="1"/>
  <c r="L196" i="16" s="1"/>
  <c r="D17" i="7"/>
  <c r="F17" i="7" s="1"/>
  <c r="C16" i="7"/>
  <c r="E16" i="7" s="1"/>
  <c r="K12" i="16"/>
  <c r="K49" i="16" s="1"/>
  <c r="K86" i="16" s="1"/>
  <c r="K123" i="16" s="1"/>
  <c r="K160" i="16" s="1"/>
  <c r="K197" i="16" s="1"/>
  <c r="C17" i="7"/>
  <c r="E17" i="7" s="1"/>
  <c r="K11" i="16"/>
  <c r="K48" i="16" s="1"/>
  <c r="K85" i="16" s="1"/>
  <c r="K122" i="16" s="1"/>
  <c r="K159" i="16" s="1"/>
  <c r="K196" i="16" s="1"/>
  <c r="D284" i="7"/>
  <c r="C284" i="7"/>
  <c r="K33" i="16"/>
  <c r="K70" i="16" s="1"/>
  <c r="K107" i="16" s="1"/>
  <c r="K144" i="16" s="1"/>
  <c r="K181" i="16" s="1"/>
  <c r="K218" i="16" s="1"/>
  <c r="L33" i="16"/>
  <c r="L70" i="16" s="1"/>
  <c r="L107" i="16" s="1"/>
  <c r="L144" i="16" s="1"/>
  <c r="L181" i="16" s="1"/>
  <c r="L218" i="16" s="1"/>
  <c r="C38" i="7"/>
  <c r="E38" i="7" s="1"/>
  <c r="K21" i="16"/>
  <c r="K58" i="16" s="1"/>
  <c r="K95" i="16" s="1"/>
  <c r="K132" i="16" s="1"/>
  <c r="K169" i="16" s="1"/>
  <c r="K206" i="16" s="1"/>
  <c r="K14" i="16"/>
  <c r="K51" i="16" s="1"/>
  <c r="K88" i="16" s="1"/>
  <c r="K125" i="16" s="1"/>
  <c r="K162" i="16" s="1"/>
  <c r="K199" i="16" s="1"/>
  <c r="C19" i="7"/>
  <c r="E19" i="7" s="1"/>
  <c r="C26" i="7"/>
  <c r="E26" i="7" s="1"/>
  <c r="K8" i="16"/>
  <c r="K13" i="16"/>
  <c r="K16" i="16"/>
  <c r="K18" i="16"/>
  <c r="K22" i="16"/>
  <c r="K24" i="16"/>
  <c r="K26" i="16"/>
  <c r="K27" i="16"/>
  <c r="K29" i="16"/>
  <c r="K31" i="16"/>
  <c r="K34" i="16"/>
  <c r="K37" i="16"/>
  <c r="K39" i="16"/>
  <c r="K9" i="16"/>
  <c r="K28" i="16"/>
  <c r="K32" i="16"/>
  <c r="K7" i="16"/>
  <c r="K15" i="16"/>
  <c r="K17" i="16"/>
  <c r="K19" i="16"/>
  <c r="K23" i="16"/>
  <c r="K25" i="16"/>
  <c r="K30" i="16"/>
  <c r="K35" i="16"/>
  <c r="K38" i="16"/>
  <c r="D38" i="7"/>
  <c r="F38" i="7" s="1"/>
  <c r="L14" i="16"/>
  <c r="L51" i="16" s="1"/>
  <c r="L88" i="16" s="1"/>
  <c r="L125" i="16" s="1"/>
  <c r="L162" i="16" s="1"/>
  <c r="L199" i="16" s="1"/>
  <c r="L21" i="16"/>
  <c r="L58" i="16" s="1"/>
  <c r="L95" i="16" s="1"/>
  <c r="L132" i="16" s="1"/>
  <c r="L169" i="16" s="1"/>
  <c r="L206" i="16" s="1"/>
  <c r="D19" i="7"/>
  <c r="F19" i="7" s="1"/>
  <c r="D26" i="7"/>
  <c r="F26" i="7" s="1"/>
  <c r="L7" i="16"/>
  <c r="L15" i="16"/>
  <c r="L19" i="16"/>
  <c r="L32" i="16"/>
  <c r="L8" i="16"/>
  <c r="L13" i="16"/>
  <c r="L16" i="16"/>
  <c r="L18" i="16"/>
  <c r="L22" i="16"/>
  <c r="L24" i="16"/>
  <c r="L26" i="16"/>
  <c r="L27" i="16"/>
  <c r="L29" i="16"/>
  <c r="L31" i="16"/>
  <c r="L34" i="16"/>
  <c r="L37" i="16"/>
  <c r="L39" i="16"/>
  <c r="L9" i="16"/>
  <c r="L17" i="16"/>
  <c r="L23" i="16"/>
  <c r="L25" i="16"/>
  <c r="L28" i="16"/>
  <c r="L30" i="16"/>
  <c r="L35" i="16"/>
  <c r="L38" i="16"/>
  <c r="D62" i="7"/>
  <c r="D136" i="7"/>
  <c r="D173" i="7"/>
  <c r="D210" i="7"/>
  <c r="D247" i="7"/>
  <c r="C62" i="7"/>
  <c r="C136" i="7"/>
  <c r="C173" i="7"/>
  <c r="C210" i="7"/>
  <c r="C247" i="7"/>
  <c r="P14" i="7"/>
  <c r="R14" i="7"/>
  <c r="Q14" i="7"/>
  <c r="O14" i="7"/>
  <c r="K12" i="7"/>
  <c r="C12" i="7"/>
  <c r="D44" i="7"/>
  <c r="F44" i="7" s="1"/>
  <c r="D43" i="7"/>
  <c r="F43" i="7" s="1"/>
  <c r="D42" i="7"/>
  <c r="F42" i="7" s="1"/>
  <c r="D39" i="7"/>
  <c r="D33" i="7"/>
  <c r="D32" i="7"/>
  <c r="F32" i="7" s="1"/>
  <c r="C31" i="7"/>
  <c r="E31" i="7" s="1"/>
  <c r="C30" i="7"/>
  <c r="E30" i="7" s="1"/>
  <c r="D29" i="7"/>
  <c r="D27" i="7"/>
  <c r="D24" i="7"/>
  <c r="F24" i="7" s="1"/>
  <c r="C22" i="7"/>
  <c r="C20" i="7"/>
  <c r="C18" i="7"/>
  <c r="E18" i="7" s="1"/>
  <c r="C14" i="7"/>
  <c r="E14" i="7" s="1"/>
  <c r="L12" i="7"/>
  <c r="D12" i="7"/>
  <c r="C44" i="7"/>
  <c r="E44" i="7" s="1"/>
  <c r="C43" i="7"/>
  <c r="E43" i="7" s="1"/>
  <c r="C42" i="7"/>
  <c r="E42" i="7" s="1"/>
  <c r="C39" i="7"/>
  <c r="C33" i="7"/>
  <c r="C32" i="7"/>
  <c r="E32" i="7" s="1"/>
  <c r="D31" i="7"/>
  <c r="D30" i="7"/>
  <c r="F30" i="7" s="1"/>
  <c r="C29" i="7"/>
  <c r="C27" i="7"/>
  <c r="C24" i="7"/>
  <c r="E24" i="7" s="1"/>
  <c r="D22" i="7"/>
  <c r="D20" i="7"/>
  <c r="D18" i="7"/>
  <c r="F18" i="7" s="1"/>
  <c r="D14" i="7"/>
  <c r="F14" i="7" s="1"/>
  <c r="E10" i="17" l="1"/>
  <c r="E47" i="17" s="1"/>
  <c r="E84" i="17" s="1"/>
  <c r="E121" i="17" s="1"/>
  <c r="E158" i="17" s="1"/>
  <c r="E195" i="17" s="1"/>
  <c r="E232" i="17" s="1"/>
  <c r="I195" i="16"/>
  <c r="I10" i="16"/>
  <c r="I121" i="16"/>
  <c r="I47" i="16"/>
  <c r="I158" i="16"/>
  <c r="I84" i="16"/>
  <c r="J195" i="16"/>
  <c r="F10" i="17"/>
  <c r="F47" i="17" s="1"/>
  <c r="F84" i="17" s="1"/>
  <c r="F121" i="17" s="1"/>
  <c r="F158" i="17" s="1"/>
  <c r="F195" i="17" s="1"/>
  <c r="F232" i="17" s="1"/>
  <c r="J158" i="16"/>
  <c r="J121" i="16"/>
  <c r="J47" i="16"/>
  <c r="J84" i="16"/>
  <c r="J10" i="16"/>
  <c r="I131" i="16"/>
  <c r="E20" i="17"/>
  <c r="E57" i="17" s="1"/>
  <c r="E94" i="17" s="1"/>
  <c r="E131" i="17" s="1"/>
  <c r="E168" i="17" s="1"/>
  <c r="E205" i="17" s="1"/>
  <c r="E242" i="17" s="1"/>
  <c r="I94" i="16"/>
  <c r="I57" i="16"/>
  <c r="I20" i="16"/>
  <c r="I205" i="16"/>
  <c r="I168" i="16"/>
  <c r="F20" i="17"/>
  <c r="F57" i="17" s="1"/>
  <c r="F94" i="17" s="1"/>
  <c r="F131" i="17" s="1"/>
  <c r="F168" i="17" s="1"/>
  <c r="F205" i="17" s="1"/>
  <c r="F242" i="17" s="1"/>
  <c r="J57" i="16"/>
  <c r="J205" i="16"/>
  <c r="J20" i="16"/>
  <c r="J94" i="16"/>
  <c r="J168" i="16"/>
  <c r="J131" i="16"/>
  <c r="E12" i="17"/>
  <c r="E49" i="17" s="1"/>
  <c r="E86" i="17" s="1"/>
  <c r="E123" i="17" s="1"/>
  <c r="E160" i="17" s="1"/>
  <c r="E197" i="17" s="1"/>
  <c r="E234" i="17" s="1"/>
  <c r="I160" i="16"/>
  <c r="I197" i="16"/>
  <c r="I123" i="16"/>
  <c r="I49" i="16"/>
  <c r="I12" i="16"/>
  <c r="I86" i="16"/>
  <c r="I196" i="16"/>
  <c r="I122" i="16"/>
  <c r="I85" i="16"/>
  <c r="I48" i="16"/>
  <c r="I11" i="16"/>
  <c r="I159" i="16"/>
  <c r="E11" i="17"/>
  <c r="E48" i="17" s="1"/>
  <c r="E85" i="17" s="1"/>
  <c r="E122" i="17" s="1"/>
  <c r="E159" i="17" s="1"/>
  <c r="E196" i="17" s="1"/>
  <c r="E233" i="17" s="1"/>
  <c r="J196" i="16"/>
  <c r="J122" i="16"/>
  <c r="J85" i="16"/>
  <c r="J48" i="16"/>
  <c r="J11" i="16"/>
  <c r="F11" i="17"/>
  <c r="F48" i="17" s="1"/>
  <c r="F85" i="17" s="1"/>
  <c r="F122" i="17" s="1"/>
  <c r="F159" i="17" s="1"/>
  <c r="F196" i="17" s="1"/>
  <c r="F233" i="17" s="1"/>
  <c r="J159" i="16"/>
  <c r="F12" i="17"/>
  <c r="F49" i="17" s="1"/>
  <c r="F86" i="17" s="1"/>
  <c r="F123" i="17" s="1"/>
  <c r="F160" i="17" s="1"/>
  <c r="F197" i="17" s="1"/>
  <c r="F234" i="17" s="1"/>
  <c r="J160" i="16"/>
  <c r="J86" i="16"/>
  <c r="J197" i="16"/>
  <c r="J123" i="16"/>
  <c r="J49" i="16"/>
  <c r="J12" i="16"/>
  <c r="C21" i="7"/>
  <c r="E21" i="7" s="1"/>
  <c r="E20" i="7"/>
  <c r="D34" i="7"/>
  <c r="F33" i="7"/>
  <c r="D21" i="7"/>
  <c r="F21" i="7" s="1"/>
  <c r="F20" i="7"/>
  <c r="C34" i="7"/>
  <c r="E33" i="7"/>
  <c r="F31" i="7"/>
  <c r="F29" i="7"/>
  <c r="C28" i="7"/>
  <c r="E28" i="7" s="1"/>
  <c r="E27" i="7"/>
  <c r="C23" i="7"/>
  <c r="E23" i="7" s="1"/>
  <c r="E22" i="7"/>
  <c r="D40" i="7"/>
  <c r="F39" i="7"/>
  <c r="E29" i="7"/>
  <c r="D23" i="7"/>
  <c r="F23" i="7" s="1"/>
  <c r="F22" i="7"/>
  <c r="C40" i="7"/>
  <c r="E39" i="7"/>
  <c r="D28" i="7"/>
  <c r="F28" i="7" s="1"/>
  <c r="F27" i="7"/>
  <c r="F33" i="17"/>
  <c r="F70" i="17" s="1"/>
  <c r="F107" i="17" s="1"/>
  <c r="F144" i="17" s="1"/>
  <c r="F181" i="17" s="1"/>
  <c r="F218" i="17" s="1"/>
  <c r="F255" i="17" s="1"/>
  <c r="J218" i="16"/>
  <c r="J144" i="16"/>
  <c r="J70" i="16"/>
  <c r="J181" i="16"/>
  <c r="J33" i="16"/>
  <c r="J107" i="16"/>
  <c r="E33" i="17"/>
  <c r="E70" i="17" s="1"/>
  <c r="E107" i="17" s="1"/>
  <c r="E144" i="17" s="1"/>
  <c r="E181" i="17" s="1"/>
  <c r="E218" i="17" s="1"/>
  <c r="E255" i="17" s="1"/>
  <c r="I218" i="16"/>
  <c r="I144" i="16"/>
  <c r="I70" i="16"/>
  <c r="I181" i="16"/>
  <c r="I33" i="16"/>
  <c r="I107" i="16"/>
  <c r="J95" i="16"/>
  <c r="J169" i="16"/>
  <c r="J132" i="16"/>
  <c r="J206" i="16"/>
  <c r="J58" i="16"/>
  <c r="J21" i="16"/>
  <c r="F21" i="17"/>
  <c r="F58" i="17" s="1"/>
  <c r="F95" i="17" s="1"/>
  <c r="F132" i="17" s="1"/>
  <c r="F169" i="17" s="1"/>
  <c r="F206" i="17" s="1"/>
  <c r="F243" i="17" s="1"/>
  <c r="J88" i="16"/>
  <c r="J199" i="16"/>
  <c r="J162" i="16"/>
  <c r="J125" i="16"/>
  <c r="J51" i="16"/>
  <c r="J14" i="16"/>
  <c r="F14" i="17"/>
  <c r="F51" i="17" s="1"/>
  <c r="F88" i="17" s="1"/>
  <c r="F125" i="17" s="1"/>
  <c r="F162" i="17" s="1"/>
  <c r="F199" i="17" s="1"/>
  <c r="F236" i="17" s="1"/>
  <c r="I169" i="16"/>
  <c r="I21" i="16"/>
  <c r="I95" i="16"/>
  <c r="I132" i="16"/>
  <c r="E21" i="17"/>
  <c r="E58" i="17" s="1"/>
  <c r="E95" i="17" s="1"/>
  <c r="E132" i="17" s="1"/>
  <c r="E169" i="17" s="1"/>
  <c r="E206" i="17" s="1"/>
  <c r="E243" i="17" s="1"/>
  <c r="I206" i="16"/>
  <c r="I58" i="16"/>
  <c r="E14" i="17"/>
  <c r="E51" i="17" s="1"/>
  <c r="E88" i="17" s="1"/>
  <c r="E125" i="17" s="1"/>
  <c r="E162" i="17" s="1"/>
  <c r="E199" i="17" s="1"/>
  <c r="E236" i="17" s="1"/>
  <c r="I88" i="16"/>
  <c r="I162" i="16"/>
  <c r="I125" i="16"/>
  <c r="I199" i="16"/>
  <c r="I51" i="16"/>
  <c r="I14" i="16"/>
  <c r="D41" i="7" l="1"/>
  <c r="F41" i="7" s="1"/>
  <c r="F40" i="7"/>
  <c r="D35" i="7"/>
  <c r="F34" i="7"/>
  <c r="C41" i="7"/>
  <c r="E41" i="7" s="1"/>
  <c r="E40" i="7"/>
  <c r="C35" i="7"/>
  <c r="E34" i="7"/>
  <c r="C50" i="7"/>
  <c r="D50" i="7"/>
  <c r="C51" i="7"/>
  <c r="D51" i="7"/>
  <c r="C52" i="7"/>
  <c r="D52" i="7"/>
  <c r="C53" i="7"/>
  <c r="D53" i="7"/>
  <c r="C54" i="7"/>
  <c r="D54" i="7"/>
  <c r="D49" i="7"/>
  <c r="C49" i="7"/>
  <c r="C36" i="7" l="1"/>
  <c r="E35" i="7"/>
  <c r="D36" i="7"/>
  <c r="F35" i="7"/>
  <c r="K64" i="16"/>
  <c r="K101" i="16" s="1"/>
  <c r="K138" i="16" s="1"/>
  <c r="K175" i="16" s="1"/>
  <c r="K212" i="16" s="1"/>
  <c r="L64" i="16"/>
  <c r="L101" i="16" s="1"/>
  <c r="S32" i="7"/>
  <c r="M27" i="16" s="1"/>
  <c r="T32" i="7"/>
  <c r="N27" i="16" s="1"/>
  <c r="C37" i="7" l="1"/>
  <c r="E37" i="7" s="1"/>
  <c r="E36" i="7"/>
  <c r="D37" i="7"/>
  <c r="F37" i="7" s="1"/>
  <c r="F36" i="7"/>
  <c r="F27" i="17"/>
  <c r="F64" i="17" s="1"/>
  <c r="F101" i="17" s="1"/>
  <c r="F138" i="17" s="1"/>
  <c r="F175" i="17" s="1"/>
  <c r="F212" i="17" s="1"/>
  <c r="F249" i="17" s="1"/>
  <c r="J212" i="16"/>
  <c r="J175" i="16"/>
  <c r="J101" i="16"/>
  <c r="J138" i="16"/>
  <c r="J64" i="16"/>
  <c r="J27" i="16"/>
  <c r="I212" i="16"/>
  <c r="I175" i="16"/>
  <c r="E27" i="17"/>
  <c r="E64" i="17" s="1"/>
  <c r="E101" i="17" s="1"/>
  <c r="E138" i="17" s="1"/>
  <c r="E175" i="17" s="1"/>
  <c r="E212" i="17" s="1"/>
  <c r="E249" i="17" s="1"/>
  <c r="I64" i="16"/>
  <c r="I101" i="16"/>
  <c r="I138" i="16"/>
  <c r="I27" i="16"/>
  <c r="N64" i="16"/>
  <c r="N101" i="16" s="1"/>
  <c r="N138" i="16" s="1"/>
  <c r="N175" i="16" s="1"/>
  <c r="N212" i="16" s="1"/>
  <c r="L138" i="16"/>
  <c r="M64" i="16"/>
  <c r="D41" i="15"/>
  <c r="C41" i="15"/>
  <c r="K45" i="16"/>
  <c r="K82" i="16" s="1"/>
  <c r="K119" i="16" s="1"/>
  <c r="K156" i="16" s="1"/>
  <c r="K193" i="16" s="1"/>
  <c r="L45" i="16"/>
  <c r="L82" i="16" s="1"/>
  <c r="L119" i="16" s="1"/>
  <c r="L156" i="16" s="1"/>
  <c r="L193" i="16" s="1"/>
  <c r="C9" i="15"/>
  <c r="D9" i="15"/>
  <c r="C10" i="15"/>
  <c r="D10" i="15"/>
  <c r="C11" i="15"/>
  <c r="D11" i="15"/>
  <c r="C12" i="15"/>
  <c r="D12" i="15"/>
  <c r="M12" i="15"/>
  <c r="C13" i="15"/>
  <c r="D13" i="15"/>
  <c r="M13" i="15"/>
  <c r="C14" i="15"/>
  <c r="D14" i="15"/>
  <c r="C16" i="15"/>
  <c r="D16" i="15"/>
  <c r="C18" i="15"/>
  <c r="D18" i="15"/>
  <c r="C19" i="15"/>
  <c r="D19" i="15"/>
  <c r="C20" i="15"/>
  <c r="D20" i="15"/>
  <c r="C21" i="15"/>
  <c r="D21" i="15"/>
  <c r="C24" i="15"/>
  <c r="D24" i="15"/>
  <c r="M24" i="15"/>
  <c r="C25" i="15"/>
  <c r="D25" i="15"/>
  <c r="C26" i="15"/>
  <c r="D26" i="15"/>
  <c r="C27" i="15"/>
  <c r="D27" i="15"/>
  <c r="C28" i="15"/>
  <c r="D28" i="15"/>
  <c r="C29" i="15"/>
  <c r="D29" i="15"/>
  <c r="C30" i="15"/>
  <c r="D30" i="15"/>
  <c r="C31" i="15"/>
  <c r="D31" i="15"/>
  <c r="C32" i="15"/>
  <c r="D32" i="15"/>
  <c r="C33" i="15"/>
  <c r="D33" i="15"/>
  <c r="C34" i="15"/>
  <c r="D34" i="15"/>
  <c r="C35" i="15"/>
  <c r="D35" i="15"/>
  <c r="C36" i="15"/>
  <c r="D36" i="15"/>
  <c r="C37" i="15"/>
  <c r="D37" i="15"/>
  <c r="C39" i="15"/>
  <c r="D39" i="15"/>
  <c r="C40" i="15"/>
  <c r="D40" i="15"/>
  <c r="C42" i="15"/>
  <c r="D42" i="15"/>
  <c r="C43" i="15"/>
  <c r="D43" i="15"/>
  <c r="C44" i="15"/>
  <c r="D44" i="15"/>
  <c r="C45" i="15"/>
  <c r="D45" i="15"/>
  <c r="C46" i="15"/>
  <c r="D46" i="15"/>
  <c r="K36" i="16" l="1"/>
  <c r="L36" i="16"/>
  <c r="L175" i="16"/>
  <c r="M101" i="16"/>
  <c r="M7" i="16"/>
  <c r="S14" i="7"/>
  <c r="M9" i="16" s="1"/>
  <c r="T14" i="7"/>
  <c r="S18" i="7"/>
  <c r="M13" i="16" s="1"/>
  <c r="T18" i="7"/>
  <c r="S20" i="7"/>
  <c r="M15" i="16" s="1"/>
  <c r="T20" i="7"/>
  <c r="N15" i="16" s="1"/>
  <c r="S22" i="7"/>
  <c r="M17" i="16" s="1"/>
  <c r="T22" i="7"/>
  <c r="N17" i="16" s="1"/>
  <c r="S24" i="7"/>
  <c r="M19" i="16" s="1"/>
  <c r="T24" i="7"/>
  <c r="S27" i="7"/>
  <c r="T27" i="7"/>
  <c r="S29" i="7"/>
  <c r="M24" i="16" s="1"/>
  <c r="T29" i="7"/>
  <c r="N24" i="16" s="1"/>
  <c r="S30" i="7"/>
  <c r="M25" i="16" s="1"/>
  <c r="T30" i="7"/>
  <c r="S31" i="7"/>
  <c r="M26" i="16" s="1"/>
  <c r="T31" i="7"/>
  <c r="N26" i="16" s="1"/>
  <c r="S33" i="7"/>
  <c r="M28" i="16" s="1"/>
  <c r="T33" i="7"/>
  <c r="N28" i="16" s="1"/>
  <c r="S39" i="7"/>
  <c r="M34" i="16" s="1"/>
  <c r="T39" i="7"/>
  <c r="N34" i="16" s="1"/>
  <c r="S42" i="7"/>
  <c r="M37" i="16" s="1"/>
  <c r="T42" i="7"/>
  <c r="S43" i="7"/>
  <c r="M38" i="16" s="1"/>
  <c r="T43" i="7"/>
  <c r="S44" i="7"/>
  <c r="M39" i="16" s="1"/>
  <c r="T44" i="7"/>
  <c r="M22" i="16" l="1"/>
  <c r="M59" i="16" s="1"/>
  <c r="M96" i="16" s="1"/>
  <c r="M133" i="16" s="1"/>
  <c r="M170" i="16" s="1"/>
  <c r="M207" i="16" s="1"/>
  <c r="S28" i="7"/>
  <c r="M23" i="16" s="1"/>
  <c r="M60" i="16" s="1"/>
  <c r="M97" i="16" s="1"/>
  <c r="M134" i="16" s="1"/>
  <c r="M171" i="16" s="1"/>
  <c r="M208" i="16" s="1"/>
  <c r="N22" i="16"/>
  <c r="N59" i="16" s="1"/>
  <c r="T28" i="7"/>
  <c r="N39" i="16"/>
  <c r="N76" i="16" s="1"/>
  <c r="N113" i="16" s="1"/>
  <c r="N150" i="16" s="1"/>
  <c r="N187" i="16" s="1"/>
  <c r="N224" i="16" s="1"/>
  <c r="N37" i="16"/>
  <c r="N74" i="16" s="1"/>
  <c r="N111" i="16" s="1"/>
  <c r="N25" i="16"/>
  <c r="N62" i="16" s="1"/>
  <c r="N99" i="16" s="1"/>
  <c r="N13" i="16"/>
  <c r="N50" i="16" s="1"/>
  <c r="N87" i="16" s="1"/>
  <c r="N7" i="16"/>
  <c r="N44" i="16" s="1"/>
  <c r="N81" i="16" s="1"/>
  <c r="N38" i="16"/>
  <c r="N75" i="16" s="1"/>
  <c r="N112" i="16" s="1"/>
  <c r="N149" i="16" s="1"/>
  <c r="N186" i="16" s="1"/>
  <c r="N223" i="16" s="1"/>
  <c r="N19" i="16"/>
  <c r="N56" i="16" s="1"/>
  <c r="N93" i="16" s="1"/>
  <c r="N130" i="16" s="1"/>
  <c r="N167" i="16" s="1"/>
  <c r="N204" i="16" s="1"/>
  <c r="N9" i="16"/>
  <c r="N46" i="16" s="1"/>
  <c r="N83" i="16" s="1"/>
  <c r="M44" i="16"/>
  <c r="M81" i="16" s="1"/>
  <c r="M118" i="16" s="1"/>
  <c r="M155" i="16" s="1"/>
  <c r="M192" i="16" s="1"/>
  <c r="S13" i="7"/>
  <c r="M52" i="16"/>
  <c r="M89" i="16" s="1"/>
  <c r="M126" i="16" s="1"/>
  <c r="M163" i="16" s="1"/>
  <c r="M200" i="16" s="1"/>
  <c r="S21" i="7"/>
  <c r="M16" i="16" s="1"/>
  <c r="M53" i="16" s="1"/>
  <c r="M90" i="16" s="1"/>
  <c r="M127" i="16" s="1"/>
  <c r="M164" i="16" s="1"/>
  <c r="M201" i="16" s="1"/>
  <c r="T13" i="7"/>
  <c r="T40" i="7"/>
  <c r="N35" i="16" s="1"/>
  <c r="N71" i="16"/>
  <c r="N108" i="16" s="1"/>
  <c r="N145" i="16" s="1"/>
  <c r="N182" i="16" s="1"/>
  <c r="N219" i="16" s="1"/>
  <c r="T34" i="7"/>
  <c r="N29" i="16" s="1"/>
  <c r="N65" i="16"/>
  <c r="N102" i="16" s="1"/>
  <c r="N139" i="16" s="1"/>
  <c r="N176" i="16" s="1"/>
  <c r="N213" i="16" s="1"/>
  <c r="N63" i="16"/>
  <c r="N100" i="16" s="1"/>
  <c r="N137" i="16" s="1"/>
  <c r="N174" i="16" s="1"/>
  <c r="N211" i="16" s="1"/>
  <c r="N61" i="16"/>
  <c r="N98" i="16" s="1"/>
  <c r="N135" i="16" s="1"/>
  <c r="N172" i="16" s="1"/>
  <c r="N209" i="16" s="1"/>
  <c r="T23" i="7"/>
  <c r="N54" i="16"/>
  <c r="N91" i="16" s="1"/>
  <c r="N128" i="16" s="1"/>
  <c r="N165" i="16" s="1"/>
  <c r="N202" i="16" s="1"/>
  <c r="M61" i="16"/>
  <c r="M98" i="16" s="1"/>
  <c r="M135" i="16" s="1"/>
  <c r="M172" i="16" s="1"/>
  <c r="M209" i="16" s="1"/>
  <c r="S23" i="7"/>
  <c r="M54" i="16"/>
  <c r="M91" i="16" s="1"/>
  <c r="M128" i="16" s="1"/>
  <c r="M165" i="16" s="1"/>
  <c r="M202" i="16" s="1"/>
  <c r="T21" i="7"/>
  <c r="N52" i="16"/>
  <c r="N89" i="16" s="1"/>
  <c r="N126" i="16" s="1"/>
  <c r="N163" i="16" s="1"/>
  <c r="N200" i="16" s="1"/>
  <c r="L212" i="16"/>
  <c r="M138" i="16"/>
  <c r="M76" i="16"/>
  <c r="M113" i="16" s="1"/>
  <c r="M150" i="16" s="1"/>
  <c r="M187" i="16" s="1"/>
  <c r="M224" i="16" s="1"/>
  <c r="M75" i="16"/>
  <c r="M112" i="16" s="1"/>
  <c r="M149" i="16" s="1"/>
  <c r="M186" i="16" s="1"/>
  <c r="M223" i="16" s="1"/>
  <c r="M74" i="16"/>
  <c r="M111" i="16" s="1"/>
  <c r="M148" i="16" s="1"/>
  <c r="M185" i="16" s="1"/>
  <c r="M222" i="16" s="1"/>
  <c r="M71" i="16"/>
  <c r="M108" i="16" s="1"/>
  <c r="M145" i="16" s="1"/>
  <c r="M182" i="16" s="1"/>
  <c r="M219" i="16" s="1"/>
  <c r="M63" i="16"/>
  <c r="M100" i="16" s="1"/>
  <c r="M137" i="16" s="1"/>
  <c r="M174" i="16" s="1"/>
  <c r="M211" i="16" s="1"/>
  <c r="M62" i="16"/>
  <c r="M99" i="16" s="1"/>
  <c r="M136" i="16" s="1"/>
  <c r="M173" i="16" s="1"/>
  <c r="M210" i="16" s="1"/>
  <c r="M56" i="16"/>
  <c r="M93" i="16" s="1"/>
  <c r="M130" i="16" s="1"/>
  <c r="M167" i="16" s="1"/>
  <c r="M204" i="16" s="1"/>
  <c r="M50" i="16"/>
  <c r="M87" i="16" s="1"/>
  <c r="M124" i="16" s="1"/>
  <c r="M161" i="16" s="1"/>
  <c r="M198" i="16" s="1"/>
  <c r="M46" i="16"/>
  <c r="M83" i="16" s="1"/>
  <c r="M120" i="16" s="1"/>
  <c r="M157" i="16" s="1"/>
  <c r="M194" i="16" s="1"/>
  <c r="S40" i="7"/>
  <c r="M35" i="16" s="1"/>
  <c r="S34" i="7"/>
  <c r="M29" i="16" s="1"/>
  <c r="N16" i="16" l="1"/>
  <c r="N53" i="16" s="1"/>
  <c r="N90" i="16" s="1"/>
  <c r="N127" i="16" s="1"/>
  <c r="N164" i="16" s="1"/>
  <c r="N201" i="16" s="1"/>
  <c r="N18" i="16"/>
  <c r="N55" i="16" s="1"/>
  <c r="N92" i="16" s="1"/>
  <c r="N129" i="16" s="1"/>
  <c r="N166" i="16" s="1"/>
  <c r="N203" i="16" s="1"/>
  <c r="M8" i="16"/>
  <c r="M45" i="16" s="1"/>
  <c r="M82" i="16" s="1"/>
  <c r="M119" i="16" s="1"/>
  <c r="M156" i="16" s="1"/>
  <c r="M193" i="16" s="1"/>
  <c r="N8" i="16"/>
  <c r="N45" i="16" s="1"/>
  <c r="N82" i="16" s="1"/>
  <c r="N119" i="16" s="1"/>
  <c r="N156" i="16" s="1"/>
  <c r="N193" i="16" s="1"/>
  <c r="M18" i="16"/>
  <c r="M55" i="16" s="1"/>
  <c r="M92" i="16" s="1"/>
  <c r="M129" i="16" s="1"/>
  <c r="M166" i="16" s="1"/>
  <c r="M203" i="16" s="1"/>
  <c r="N23" i="16"/>
  <c r="N60" i="16" s="1"/>
  <c r="N97" i="16" s="1"/>
  <c r="N134" i="16" s="1"/>
  <c r="N171" i="16" s="1"/>
  <c r="N208" i="16" s="1"/>
  <c r="N96" i="16"/>
  <c r="N136" i="16"/>
  <c r="N173" i="16" s="1"/>
  <c r="N210" i="16" s="1"/>
  <c r="N118" i="16"/>
  <c r="N155" i="16" s="1"/>
  <c r="N192" i="16" s="1"/>
  <c r="N124" i="16"/>
  <c r="N161" i="16" s="1"/>
  <c r="N198" i="16" s="1"/>
  <c r="N120" i="16"/>
  <c r="N157" i="16" s="1"/>
  <c r="N194" i="16" s="1"/>
  <c r="N148" i="16"/>
  <c r="N185" i="16" s="1"/>
  <c r="N222" i="16" s="1"/>
  <c r="T35" i="7"/>
  <c r="N30" i="16" s="1"/>
  <c r="N66" i="16"/>
  <c r="N103" i="16" s="1"/>
  <c r="N140" i="16" s="1"/>
  <c r="N177" i="16" s="1"/>
  <c r="N214" i="16" s="1"/>
  <c r="T41" i="7"/>
  <c r="N36" i="16" s="1"/>
  <c r="N72" i="16"/>
  <c r="N109" i="16" s="1"/>
  <c r="N146" i="16" s="1"/>
  <c r="N183" i="16" s="1"/>
  <c r="N220" i="16" s="1"/>
  <c r="M175" i="16"/>
  <c r="M65" i="16"/>
  <c r="M102" i="16" s="1"/>
  <c r="M139" i="16" s="1"/>
  <c r="M176" i="16" s="1"/>
  <c r="M213" i="16" s="1"/>
  <c r="K75" i="16"/>
  <c r="K112" i="16" s="1"/>
  <c r="K149" i="16" s="1"/>
  <c r="K186" i="16" s="1"/>
  <c r="K223" i="16" s="1"/>
  <c r="K72" i="16"/>
  <c r="K109" i="16" s="1"/>
  <c r="K146" i="16" s="1"/>
  <c r="K183" i="16" s="1"/>
  <c r="K220" i="16" s="1"/>
  <c r="K69" i="16"/>
  <c r="K106" i="16" s="1"/>
  <c r="K143" i="16" s="1"/>
  <c r="K180" i="16" s="1"/>
  <c r="K217" i="16" s="1"/>
  <c r="K67" i="16"/>
  <c r="K104" i="16" s="1"/>
  <c r="K141" i="16" s="1"/>
  <c r="K178" i="16" s="1"/>
  <c r="K215" i="16" s="1"/>
  <c r="L76" i="16"/>
  <c r="L113" i="16" s="1"/>
  <c r="L150" i="16" s="1"/>
  <c r="L187" i="16" s="1"/>
  <c r="L224" i="16" s="1"/>
  <c r="L75" i="16"/>
  <c r="L112" i="16" s="1"/>
  <c r="L149" i="16" s="1"/>
  <c r="L186" i="16" s="1"/>
  <c r="L223" i="16" s="1"/>
  <c r="L74" i="16"/>
  <c r="L73" i="16"/>
  <c r="L110" i="16" s="1"/>
  <c r="L147" i="16" s="1"/>
  <c r="L184" i="16" s="1"/>
  <c r="L221" i="16" s="1"/>
  <c r="L72" i="16"/>
  <c r="L109" i="16" s="1"/>
  <c r="L146" i="16" s="1"/>
  <c r="L183" i="16" s="1"/>
  <c r="L220" i="16" s="1"/>
  <c r="L71" i="16"/>
  <c r="L108" i="16" s="1"/>
  <c r="L145" i="16" s="1"/>
  <c r="L182" i="16" s="1"/>
  <c r="L219" i="16" s="1"/>
  <c r="L69" i="16"/>
  <c r="L106" i="16" s="1"/>
  <c r="L143" i="16" s="1"/>
  <c r="L180" i="16" s="1"/>
  <c r="L217" i="16" s="1"/>
  <c r="L68" i="16"/>
  <c r="L105" i="16" s="1"/>
  <c r="L142" i="16" s="1"/>
  <c r="L179" i="16" s="1"/>
  <c r="L216" i="16" s="1"/>
  <c r="L67" i="16"/>
  <c r="L104" i="16" s="1"/>
  <c r="L141" i="16" s="1"/>
  <c r="L178" i="16" s="1"/>
  <c r="L215" i="16" s="1"/>
  <c r="L66" i="16"/>
  <c r="L103" i="16" s="1"/>
  <c r="L140" i="16" s="1"/>
  <c r="L177" i="16" s="1"/>
  <c r="L214" i="16" s="1"/>
  <c r="L63" i="16"/>
  <c r="L100" i="16" s="1"/>
  <c r="L137" i="16" s="1"/>
  <c r="L174" i="16" s="1"/>
  <c r="L211" i="16" s="1"/>
  <c r="L62" i="16"/>
  <c r="L61" i="16"/>
  <c r="L98" i="16" s="1"/>
  <c r="L135" i="16" s="1"/>
  <c r="L172" i="16" s="1"/>
  <c r="L209" i="16" s="1"/>
  <c r="L60" i="16"/>
  <c r="L97" i="16" s="1"/>
  <c r="L134" i="16" s="1"/>
  <c r="L171" i="16" s="1"/>
  <c r="L208" i="16" s="1"/>
  <c r="L59" i="16"/>
  <c r="L56" i="16"/>
  <c r="L93" i="16" s="1"/>
  <c r="L130" i="16" s="1"/>
  <c r="L167" i="16" s="1"/>
  <c r="L204" i="16" s="1"/>
  <c r="L55" i="16"/>
  <c r="L92" i="16" s="1"/>
  <c r="L129" i="16" s="1"/>
  <c r="L166" i="16" s="1"/>
  <c r="L203" i="16" s="1"/>
  <c r="L54" i="16"/>
  <c r="L91" i="16" s="1"/>
  <c r="L128" i="16" s="1"/>
  <c r="L165" i="16" s="1"/>
  <c r="L202" i="16" s="1"/>
  <c r="L53" i="16"/>
  <c r="L90" i="16" s="1"/>
  <c r="L127" i="16" s="1"/>
  <c r="L164" i="16" s="1"/>
  <c r="L201" i="16" s="1"/>
  <c r="L52" i="16"/>
  <c r="L89" i="16" s="1"/>
  <c r="L126" i="16" s="1"/>
  <c r="L163" i="16" s="1"/>
  <c r="L200" i="16" s="1"/>
  <c r="L50" i="16"/>
  <c r="L46" i="16"/>
  <c r="F13" i="7"/>
  <c r="L44" i="16"/>
  <c r="M66" i="16"/>
  <c r="M103" i="16" s="1"/>
  <c r="M140" i="16" s="1"/>
  <c r="M177" i="16" s="1"/>
  <c r="M214" i="16" s="1"/>
  <c r="K76" i="16"/>
  <c r="K113" i="16" s="1"/>
  <c r="K150" i="16" s="1"/>
  <c r="K187" i="16" s="1"/>
  <c r="K224" i="16" s="1"/>
  <c r="K74" i="16"/>
  <c r="K111" i="16" s="1"/>
  <c r="K148" i="16" s="1"/>
  <c r="K185" i="16" s="1"/>
  <c r="K222" i="16" s="1"/>
  <c r="K73" i="16"/>
  <c r="K110" i="16" s="1"/>
  <c r="K147" i="16" s="1"/>
  <c r="K184" i="16" s="1"/>
  <c r="K221" i="16" s="1"/>
  <c r="K71" i="16"/>
  <c r="K108" i="16" s="1"/>
  <c r="K145" i="16" s="1"/>
  <c r="K182" i="16" s="1"/>
  <c r="K219" i="16" s="1"/>
  <c r="K68" i="16"/>
  <c r="K105" i="16" s="1"/>
  <c r="K142" i="16" s="1"/>
  <c r="K179" i="16" s="1"/>
  <c r="K216" i="16" s="1"/>
  <c r="K66" i="16"/>
  <c r="K103" i="16" s="1"/>
  <c r="K140" i="16" s="1"/>
  <c r="K177" i="16" s="1"/>
  <c r="K214" i="16" s="1"/>
  <c r="K63" i="16"/>
  <c r="K100" i="16" s="1"/>
  <c r="K137" i="16" s="1"/>
  <c r="K174" i="16" s="1"/>
  <c r="K211" i="16" s="1"/>
  <c r="K62" i="16"/>
  <c r="K99" i="16" s="1"/>
  <c r="K136" i="16" s="1"/>
  <c r="K173" i="16" s="1"/>
  <c r="K210" i="16" s="1"/>
  <c r="K61" i="16"/>
  <c r="K98" i="16" s="1"/>
  <c r="K135" i="16" s="1"/>
  <c r="K172" i="16" s="1"/>
  <c r="K209" i="16" s="1"/>
  <c r="K60" i="16"/>
  <c r="K97" i="16" s="1"/>
  <c r="K134" i="16" s="1"/>
  <c r="K171" i="16" s="1"/>
  <c r="K208" i="16" s="1"/>
  <c r="K59" i="16"/>
  <c r="K96" i="16" s="1"/>
  <c r="K133" i="16" s="1"/>
  <c r="K170" i="16" s="1"/>
  <c r="K207" i="16" s="1"/>
  <c r="K56" i="16"/>
  <c r="K93" i="16" s="1"/>
  <c r="K130" i="16" s="1"/>
  <c r="K167" i="16" s="1"/>
  <c r="K204" i="16" s="1"/>
  <c r="K55" i="16"/>
  <c r="K92" i="16" s="1"/>
  <c r="K129" i="16" s="1"/>
  <c r="K166" i="16" s="1"/>
  <c r="K203" i="16" s="1"/>
  <c r="K54" i="16"/>
  <c r="K91" i="16" s="1"/>
  <c r="K128" i="16" s="1"/>
  <c r="K165" i="16" s="1"/>
  <c r="K202" i="16" s="1"/>
  <c r="K53" i="16"/>
  <c r="K90" i="16" s="1"/>
  <c r="K127" i="16" s="1"/>
  <c r="K164" i="16" s="1"/>
  <c r="K201" i="16" s="1"/>
  <c r="K52" i="16"/>
  <c r="K89" i="16" s="1"/>
  <c r="K126" i="16" s="1"/>
  <c r="K163" i="16" s="1"/>
  <c r="K200" i="16" s="1"/>
  <c r="K50" i="16"/>
  <c r="K87" i="16" s="1"/>
  <c r="K124" i="16" s="1"/>
  <c r="K161" i="16" s="1"/>
  <c r="K198" i="16" s="1"/>
  <c r="K46" i="16"/>
  <c r="K83" i="16" s="1"/>
  <c r="K120" i="16" s="1"/>
  <c r="K157" i="16" s="1"/>
  <c r="K194" i="16" s="1"/>
  <c r="E13" i="7"/>
  <c r="K44" i="16"/>
  <c r="K81" i="16" s="1"/>
  <c r="K118" i="16" s="1"/>
  <c r="K155" i="16" s="1"/>
  <c r="K192" i="16" s="1"/>
  <c r="M72" i="16"/>
  <c r="M109" i="16" s="1"/>
  <c r="M146" i="16" s="1"/>
  <c r="M183" i="16" s="1"/>
  <c r="M220" i="16" s="1"/>
  <c r="F12" i="7"/>
  <c r="S41" i="7"/>
  <c r="M36" i="16" s="1"/>
  <c r="S35" i="7"/>
  <c r="M30" i="16" s="1"/>
  <c r="I14" i="7"/>
  <c r="G14" i="7"/>
  <c r="J14" i="7"/>
  <c r="H14" i="7"/>
  <c r="N12" i="7"/>
  <c r="M12" i="7"/>
  <c r="F194" i="16" l="1"/>
  <c r="F157" i="16"/>
  <c r="F120" i="16"/>
  <c r="F83" i="16"/>
  <c r="F46" i="16"/>
  <c r="F9" i="16"/>
  <c r="I211" i="16"/>
  <c r="E26" i="17"/>
  <c r="E63" i="17" s="1"/>
  <c r="E100" i="17" s="1"/>
  <c r="E137" i="17" s="1"/>
  <c r="E174" i="17" s="1"/>
  <c r="E211" i="17" s="1"/>
  <c r="E248" i="17" s="1"/>
  <c r="I174" i="16"/>
  <c r="I63" i="16"/>
  <c r="I137" i="16"/>
  <c r="I100" i="16"/>
  <c r="I26" i="16"/>
  <c r="J192" i="16"/>
  <c r="J155" i="16"/>
  <c r="F7" i="17"/>
  <c r="J44" i="16"/>
  <c r="J81" i="16"/>
  <c r="J118" i="16"/>
  <c r="J7" i="16"/>
  <c r="J165" i="16"/>
  <c r="F17" i="17"/>
  <c r="J202" i="16"/>
  <c r="J91" i="16"/>
  <c r="J128" i="16"/>
  <c r="J54" i="16"/>
  <c r="J17" i="16"/>
  <c r="F25" i="17"/>
  <c r="F62" i="17" s="1"/>
  <c r="F99" i="17" s="1"/>
  <c r="J210" i="16"/>
  <c r="J173" i="16"/>
  <c r="J99" i="16"/>
  <c r="J136" i="16"/>
  <c r="J62" i="16"/>
  <c r="J25" i="16"/>
  <c r="F37" i="17"/>
  <c r="J222" i="16"/>
  <c r="J185" i="16"/>
  <c r="J111" i="16"/>
  <c r="J148" i="16"/>
  <c r="J74" i="16"/>
  <c r="J37" i="16"/>
  <c r="C157" i="16"/>
  <c r="C194" i="16"/>
  <c r="C46" i="16"/>
  <c r="C120" i="16"/>
  <c r="C83" i="16"/>
  <c r="C9" i="16"/>
  <c r="I202" i="16"/>
  <c r="I165" i="16"/>
  <c r="E17" i="17"/>
  <c r="I54" i="16"/>
  <c r="I128" i="16"/>
  <c r="I91" i="16"/>
  <c r="I17" i="16"/>
  <c r="I213" i="16"/>
  <c r="E28" i="17"/>
  <c r="E65" i="17" s="1"/>
  <c r="E102" i="17" s="1"/>
  <c r="E139" i="17" s="1"/>
  <c r="E176" i="17" s="1"/>
  <c r="E213" i="17" s="1"/>
  <c r="E250" i="17" s="1"/>
  <c r="I176" i="16"/>
  <c r="I65" i="16"/>
  <c r="I102" i="16"/>
  <c r="I139" i="16"/>
  <c r="I28" i="16"/>
  <c r="J157" i="16"/>
  <c r="F9" i="17"/>
  <c r="J194" i="16"/>
  <c r="J83" i="16"/>
  <c r="J120" i="16"/>
  <c r="J46" i="16"/>
  <c r="J9" i="16"/>
  <c r="J167" i="16"/>
  <c r="F19" i="17"/>
  <c r="J204" i="16"/>
  <c r="J93" i="16"/>
  <c r="J130" i="16"/>
  <c r="J56" i="16"/>
  <c r="J19" i="16"/>
  <c r="F26" i="17"/>
  <c r="F63" i="17" s="1"/>
  <c r="F100" i="17" s="1"/>
  <c r="F137" i="17" s="1"/>
  <c r="F174" i="17" s="1"/>
  <c r="F211" i="17" s="1"/>
  <c r="F248" i="17" s="1"/>
  <c r="J174" i="16"/>
  <c r="J211" i="16"/>
  <c r="J137" i="16"/>
  <c r="J100" i="16"/>
  <c r="J63" i="16"/>
  <c r="J26" i="16"/>
  <c r="F38" i="17"/>
  <c r="F75" i="17" s="1"/>
  <c r="F112" i="17" s="1"/>
  <c r="F149" i="17" s="1"/>
  <c r="F186" i="17" s="1"/>
  <c r="F223" i="17" s="1"/>
  <c r="F260" i="17" s="1"/>
  <c r="J223" i="16"/>
  <c r="J186" i="16"/>
  <c r="J149" i="16"/>
  <c r="J112" i="16"/>
  <c r="J75" i="16"/>
  <c r="J38" i="16"/>
  <c r="I194" i="16"/>
  <c r="I157" i="16"/>
  <c r="E9" i="17"/>
  <c r="I46" i="16"/>
  <c r="I120" i="16"/>
  <c r="I83" i="16"/>
  <c r="I9" i="16"/>
  <c r="I200" i="16"/>
  <c r="E15" i="17"/>
  <c r="E52" i="17" s="1"/>
  <c r="E89" i="17" s="1"/>
  <c r="E126" i="17" s="1"/>
  <c r="E163" i="17" s="1"/>
  <c r="E200" i="17" s="1"/>
  <c r="E237" i="17" s="1"/>
  <c r="I163" i="16"/>
  <c r="I52" i="16"/>
  <c r="I89" i="16"/>
  <c r="I126" i="16"/>
  <c r="I15" i="16"/>
  <c r="I224" i="16"/>
  <c r="I187" i="16"/>
  <c r="E39" i="17"/>
  <c r="E76" i="17" s="1"/>
  <c r="E113" i="17" s="1"/>
  <c r="E150" i="17" s="1"/>
  <c r="E187" i="17" s="1"/>
  <c r="E224" i="17" s="1"/>
  <c r="E261" i="17" s="1"/>
  <c r="I76" i="16"/>
  <c r="I113" i="16"/>
  <c r="I150" i="16"/>
  <c r="I39" i="16"/>
  <c r="E194" i="16"/>
  <c r="E157" i="16"/>
  <c r="E46" i="16"/>
  <c r="E83" i="16"/>
  <c r="E120" i="16"/>
  <c r="E9" i="16"/>
  <c r="I209" i="16"/>
  <c r="E24" i="17"/>
  <c r="E61" i="17" s="1"/>
  <c r="E98" i="17" s="1"/>
  <c r="E135" i="17" s="1"/>
  <c r="E172" i="17" s="1"/>
  <c r="E209" i="17" s="1"/>
  <c r="E246" i="17" s="1"/>
  <c r="I172" i="16"/>
  <c r="I61" i="16"/>
  <c r="I135" i="16"/>
  <c r="I98" i="16"/>
  <c r="I24" i="16"/>
  <c r="I219" i="16"/>
  <c r="I182" i="16"/>
  <c r="E34" i="17"/>
  <c r="E71" i="17" s="1"/>
  <c r="E108" i="17" s="1"/>
  <c r="E145" i="17" s="1"/>
  <c r="E182" i="17" s="1"/>
  <c r="E219" i="17" s="1"/>
  <c r="E256" i="17" s="1"/>
  <c r="I71" i="16"/>
  <c r="I145" i="16"/>
  <c r="I108" i="16"/>
  <c r="I34" i="16"/>
  <c r="F13" i="17"/>
  <c r="J161" i="16"/>
  <c r="J198" i="16"/>
  <c r="J124" i="16"/>
  <c r="J87" i="16"/>
  <c r="J50" i="16"/>
  <c r="J13" i="16"/>
  <c r="F22" i="17"/>
  <c r="J170" i="16"/>
  <c r="J207" i="16"/>
  <c r="J133" i="16"/>
  <c r="J96" i="16"/>
  <c r="J59" i="16"/>
  <c r="J22" i="16"/>
  <c r="F28" i="17"/>
  <c r="F65" i="17" s="1"/>
  <c r="F102" i="17" s="1"/>
  <c r="F139" i="17" s="1"/>
  <c r="F176" i="17" s="1"/>
  <c r="F213" i="17" s="1"/>
  <c r="F250" i="17" s="1"/>
  <c r="J213" i="16"/>
  <c r="J176" i="16"/>
  <c r="J139" i="16"/>
  <c r="J102" i="16"/>
  <c r="J65" i="16"/>
  <c r="J28" i="16"/>
  <c r="F39" i="17"/>
  <c r="F76" i="17" s="1"/>
  <c r="F113" i="17" s="1"/>
  <c r="F150" i="17" s="1"/>
  <c r="F187" i="17" s="1"/>
  <c r="F224" i="17" s="1"/>
  <c r="F261" i="17" s="1"/>
  <c r="J224" i="16"/>
  <c r="J187" i="16"/>
  <c r="J113" i="16"/>
  <c r="J150" i="16"/>
  <c r="J76" i="16"/>
  <c r="J39" i="16"/>
  <c r="I204" i="16"/>
  <c r="E19" i="17"/>
  <c r="I167" i="16"/>
  <c r="I56" i="16"/>
  <c r="I93" i="16"/>
  <c r="I130" i="16"/>
  <c r="I19" i="16"/>
  <c r="D194" i="16"/>
  <c r="D157" i="16"/>
  <c r="D83" i="16"/>
  <c r="D120" i="16"/>
  <c r="D46" i="16"/>
  <c r="D9" i="16"/>
  <c r="I210" i="16"/>
  <c r="I173" i="16"/>
  <c r="E25" i="17"/>
  <c r="E62" i="17" s="1"/>
  <c r="E99" i="17" s="1"/>
  <c r="E136" i="17" s="1"/>
  <c r="E173" i="17" s="1"/>
  <c r="E210" i="17" s="1"/>
  <c r="E247" i="17" s="1"/>
  <c r="I62" i="16"/>
  <c r="I136" i="16"/>
  <c r="I99" i="16"/>
  <c r="I25" i="16"/>
  <c r="I223" i="16"/>
  <c r="E38" i="17"/>
  <c r="E75" i="17" s="1"/>
  <c r="E112" i="17" s="1"/>
  <c r="E149" i="17" s="1"/>
  <c r="E186" i="17" s="1"/>
  <c r="E223" i="17" s="1"/>
  <c r="E260" i="17" s="1"/>
  <c r="I186" i="16"/>
  <c r="I75" i="16"/>
  <c r="I149" i="16"/>
  <c r="I112" i="16"/>
  <c r="I38" i="16"/>
  <c r="J163" i="16"/>
  <c r="F15" i="17"/>
  <c r="F52" i="17" s="1"/>
  <c r="F89" i="17" s="1"/>
  <c r="F126" i="17" s="1"/>
  <c r="F163" i="17" s="1"/>
  <c r="F200" i="17" s="1"/>
  <c r="F237" i="17" s="1"/>
  <c r="J200" i="16"/>
  <c r="J89" i="16"/>
  <c r="J126" i="16"/>
  <c r="J52" i="16"/>
  <c r="J15" i="16"/>
  <c r="F24" i="17"/>
  <c r="F61" i="17" s="1"/>
  <c r="F98" i="17" s="1"/>
  <c r="F135" i="17" s="1"/>
  <c r="F172" i="17" s="1"/>
  <c r="F209" i="17" s="1"/>
  <c r="F246" i="17" s="1"/>
  <c r="J209" i="16"/>
  <c r="J172" i="16"/>
  <c r="J135" i="16"/>
  <c r="J98" i="16"/>
  <c r="J61" i="16"/>
  <c r="J24" i="16"/>
  <c r="F34" i="17"/>
  <c r="F71" i="17" s="1"/>
  <c r="F108" i="17" s="1"/>
  <c r="F145" i="17" s="1"/>
  <c r="F182" i="17" s="1"/>
  <c r="F219" i="17" s="1"/>
  <c r="F256" i="17" s="1"/>
  <c r="J219" i="16"/>
  <c r="J182" i="16"/>
  <c r="J108" i="16"/>
  <c r="J145" i="16"/>
  <c r="J71" i="16"/>
  <c r="J34" i="16"/>
  <c r="I193" i="16"/>
  <c r="E8" i="17"/>
  <c r="I156" i="16"/>
  <c r="I45" i="16"/>
  <c r="I119" i="16"/>
  <c r="I82" i="16"/>
  <c r="I8" i="16"/>
  <c r="I198" i="16"/>
  <c r="E13" i="17"/>
  <c r="I161" i="16"/>
  <c r="I50" i="16"/>
  <c r="I124" i="16"/>
  <c r="I87" i="16"/>
  <c r="I13" i="16"/>
  <c r="I222" i="16"/>
  <c r="I185" i="16"/>
  <c r="E37" i="17"/>
  <c r="I74" i="16"/>
  <c r="I148" i="16"/>
  <c r="I111" i="16"/>
  <c r="I37" i="16"/>
  <c r="F8" i="17"/>
  <c r="J156" i="16"/>
  <c r="J193" i="16"/>
  <c r="J119" i="16"/>
  <c r="J82" i="16"/>
  <c r="J45" i="16"/>
  <c r="J8" i="16"/>
  <c r="L87" i="16"/>
  <c r="L81" i="16"/>
  <c r="L111" i="16"/>
  <c r="L96" i="16"/>
  <c r="L83" i="16"/>
  <c r="L99" i="16"/>
  <c r="N133" i="16"/>
  <c r="N170" i="16" s="1"/>
  <c r="N207" i="16" s="1"/>
  <c r="N73" i="16"/>
  <c r="N110" i="16" s="1"/>
  <c r="N147" i="16" s="1"/>
  <c r="N184" i="16" s="1"/>
  <c r="N221" i="16" s="1"/>
  <c r="T36" i="7"/>
  <c r="N31" i="16" s="1"/>
  <c r="N67" i="16"/>
  <c r="N104" i="16" s="1"/>
  <c r="N141" i="16" s="1"/>
  <c r="N178" i="16" s="1"/>
  <c r="N215" i="16" s="1"/>
  <c r="E12" i="7"/>
  <c r="M212" i="16"/>
  <c r="L65" i="16"/>
  <c r="K65" i="16"/>
  <c r="M67" i="16"/>
  <c r="M104" i="16" s="1"/>
  <c r="M141" i="16" s="1"/>
  <c r="M178" i="16" s="1"/>
  <c r="M215" i="16" s="1"/>
  <c r="M73" i="16"/>
  <c r="M110" i="16" s="1"/>
  <c r="M147" i="16" s="1"/>
  <c r="M184" i="16" s="1"/>
  <c r="M221" i="16" s="1"/>
  <c r="S36" i="7"/>
  <c r="M31" i="16" s="1"/>
  <c r="J12" i="7"/>
  <c r="H12" i="7"/>
  <c r="D60" i="7" s="1"/>
  <c r="I12" i="7"/>
  <c r="G12" i="7"/>
  <c r="C60" i="7" s="1"/>
  <c r="C21" i="9"/>
  <c r="C20" i="9"/>
  <c r="F55" i="7" l="1"/>
  <c r="E55" i="7"/>
  <c r="F45" i="17"/>
  <c r="F82" i="17" s="1"/>
  <c r="E56" i="17"/>
  <c r="E93" i="17" s="1"/>
  <c r="E130" i="17" s="1"/>
  <c r="E167" i="17" s="1"/>
  <c r="E204" i="17" s="1"/>
  <c r="E241" i="17" s="1"/>
  <c r="F44" i="17"/>
  <c r="F81" i="17" s="1"/>
  <c r="E50" i="17"/>
  <c r="E87" i="17" s="1"/>
  <c r="E124" i="17" s="1"/>
  <c r="E161" i="17" s="1"/>
  <c r="E198" i="17" s="1"/>
  <c r="E235" i="17" s="1"/>
  <c r="F50" i="17"/>
  <c r="F87" i="17" s="1"/>
  <c r="F124" i="17" s="1"/>
  <c r="F161" i="17" s="1"/>
  <c r="F198" i="17" s="1"/>
  <c r="F235" i="17" s="1"/>
  <c r="F46" i="17"/>
  <c r="F83" i="17" s="1"/>
  <c r="F56" i="17"/>
  <c r="F93" i="17" s="1"/>
  <c r="F130" i="17" s="1"/>
  <c r="F167" i="17" s="1"/>
  <c r="F204" i="17" s="1"/>
  <c r="F241" i="17" s="1"/>
  <c r="E54" i="17"/>
  <c r="E91" i="17" s="1"/>
  <c r="E128" i="17" s="1"/>
  <c r="E165" i="17" s="1"/>
  <c r="E202" i="17" s="1"/>
  <c r="E239" i="17" s="1"/>
  <c r="F54" i="17"/>
  <c r="F91" i="17" s="1"/>
  <c r="F128" i="17" s="1"/>
  <c r="F165" i="17" s="1"/>
  <c r="F202" i="17" s="1"/>
  <c r="F239" i="17" s="1"/>
  <c r="E45" i="17"/>
  <c r="E82" i="17" s="1"/>
  <c r="E46" i="17"/>
  <c r="E83" i="17" s="1"/>
  <c r="E74" i="17"/>
  <c r="E111" i="17" s="1"/>
  <c r="E148" i="17" s="1"/>
  <c r="E185" i="17" s="1"/>
  <c r="E222" i="17" s="1"/>
  <c r="E259" i="17" s="1"/>
  <c r="F74" i="17"/>
  <c r="F111" i="17" s="1"/>
  <c r="F148" i="17" s="1"/>
  <c r="F185" i="17" s="1"/>
  <c r="F222" i="17" s="1"/>
  <c r="F259" i="17" s="1"/>
  <c r="H9" i="16"/>
  <c r="P9" i="16" s="1"/>
  <c r="F59" i="17"/>
  <c r="D192" i="16"/>
  <c r="D155" i="16"/>
  <c r="D81" i="16"/>
  <c r="D118" i="16"/>
  <c r="D44" i="16"/>
  <c r="D7" i="16"/>
  <c r="F29" i="17"/>
  <c r="F66" i="17" s="1"/>
  <c r="F103" i="17" s="1"/>
  <c r="F140" i="17" s="1"/>
  <c r="F177" i="17" s="1"/>
  <c r="F214" i="17" s="1"/>
  <c r="F251" i="17" s="1"/>
  <c r="J177" i="16"/>
  <c r="J214" i="16"/>
  <c r="J103" i="16"/>
  <c r="J140" i="16"/>
  <c r="J66" i="16"/>
  <c r="J29" i="16"/>
  <c r="I208" i="16"/>
  <c r="I171" i="16"/>
  <c r="E23" i="17"/>
  <c r="I60" i="16"/>
  <c r="I134" i="16"/>
  <c r="I97" i="16"/>
  <c r="I23" i="16"/>
  <c r="I207" i="16"/>
  <c r="E22" i="17"/>
  <c r="I170" i="16"/>
  <c r="I59" i="16"/>
  <c r="I96" i="16"/>
  <c r="I133" i="16"/>
  <c r="I22" i="16"/>
  <c r="F192" i="16"/>
  <c r="F155" i="16"/>
  <c r="F81" i="16"/>
  <c r="F44" i="16"/>
  <c r="F118" i="16"/>
  <c r="F7" i="16"/>
  <c r="F23" i="17"/>
  <c r="J171" i="16"/>
  <c r="J208" i="16"/>
  <c r="J97" i="16"/>
  <c r="J134" i="16"/>
  <c r="J60" i="16"/>
  <c r="J23" i="16"/>
  <c r="I203" i="16"/>
  <c r="E18" i="17"/>
  <c r="I166" i="16"/>
  <c r="I55" i="16"/>
  <c r="I129" i="16"/>
  <c r="I92" i="16"/>
  <c r="I18" i="16"/>
  <c r="F18" i="17"/>
  <c r="J166" i="16"/>
  <c r="J203" i="16"/>
  <c r="J129" i="16"/>
  <c r="J92" i="16"/>
  <c r="J55" i="16"/>
  <c r="J18" i="16"/>
  <c r="I201" i="16"/>
  <c r="E16" i="17"/>
  <c r="E53" i="17" s="1"/>
  <c r="E90" i="17" s="1"/>
  <c r="E127" i="17" s="1"/>
  <c r="E164" i="17" s="1"/>
  <c r="E201" i="17" s="1"/>
  <c r="E238" i="17" s="1"/>
  <c r="I164" i="16"/>
  <c r="I53" i="16"/>
  <c r="I90" i="16"/>
  <c r="I127" i="16"/>
  <c r="I16" i="16"/>
  <c r="G9" i="16"/>
  <c r="O9" i="16" s="1"/>
  <c r="C192" i="16"/>
  <c r="C155" i="16"/>
  <c r="C118" i="16"/>
  <c r="C44" i="16"/>
  <c r="C81" i="16"/>
  <c r="C7" i="16"/>
  <c r="F16" i="17"/>
  <c r="F53" i="17" s="1"/>
  <c r="F90" i="17" s="1"/>
  <c r="F127" i="17" s="1"/>
  <c r="F164" i="17" s="1"/>
  <c r="F201" i="17" s="1"/>
  <c r="F238" i="17" s="1"/>
  <c r="J164" i="16"/>
  <c r="J201" i="16"/>
  <c r="J127" i="16"/>
  <c r="J90" i="16"/>
  <c r="J53" i="16"/>
  <c r="J16" i="16"/>
  <c r="F35" i="17"/>
  <c r="F72" i="17" s="1"/>
  <c r="F109" i="17" s="1"/>
  <c r="F146" i="17" s="1"/>
  <c r="F183" i="17" s="1"/>
  <c r="F220" i="17" s="1"/>
  <c r="F257" i="17" s="1"/>
  <c r="J183" i="16"/>
  <c r="J220" i="16"/>
  <c r="J146" i="16"/>
  <c r="J109" i="16"/>
  <c r="J72" i="16"/>
  <c r="J35" i="16"/>
  <c r="I214" i="16"/>
  <c r="I177" i="16"/>
  <c r="E29" i="17"/>
  <c r="E66" i="17" s="1"/>
  <c r="E103" i="17" s="1"/>
  <c r="E140" i="17" s="1"/>
  <c r="E177" i="17" s="1"/>
  <c r="E214" i="17" s="1"/>
  <c r="E251" i="17" s="1"/>
  <c r="I66" i="16"/>
  <c r="I140" i="16"/>
  <c r="I103" i="16"/>
  <c r="I29" i="16"/>
  <c r="C97" i="7"/>
  <c r="E192" i="16"/>
  <c r="E155" i="16"/>
  <c r="E118" i="16"/>
  <c r="E81" i="16"/>
  <c r="E44" i="16"/>
  <c r="E7" i="16"/>
  <c r="I220" i="16"/>
  <c r="E35" i="17"/>
  <c r="E72" i="17" s="1"/>
  <c r="E109" i="17" s="1"/>
  <c r="E146" i="17" s="1"/>
  <c r="E183" i="17" s="1"/>
  <c r="E220" i="17" s="1"/>
  <c r="E257" i="17" s="1"/>
  <c r="I183" i="16"/>
  <c r="I72" i="16"/>
  <c r="I146" i="16"/>
  <c r="I109" i="16"/>
  <c r="I35" i="16"/>
  <c r="E7" i="17"/>
  <c r="I192" i="16"/>
  <c r="I155" i="16"/>
  <c r="I118" i="16"/>
  <c r="I81" i="16"/>
  <c r="I44" i="16"/>
  <c r="I7" i="16"/>
  <c r="G194" i="16"/>
  <c r="O194" i="16" s="1"/>
  <c r="L136" i="16"/>
  <c r="L173" i="16" s="1"/>
  <c r="L210" i="16" s="1"/>
  <c r="F136" i="17"/>
  <c r="F173" i="17" s="1"/>
  <c r="F210" i="17" s="1"/>
  <c r="F247" i="17" s="1"/>
  <c r="L148" i="16"/>
  <c r="L185" i="16" s="1"/>
  <c r="L222" i="16" s="1"/>
  <c r="L120" i="16"/>
  <c r="L157" i="16" s="1"/>
  <c r="L194" i="16" s="1"/>
  <c r="L133" i="16"/>
  <c r="L170" i="16" s="1"/>
  <c r="L207" i="16" s="1"/>
  <c r="L118" i="16"/>
  <c r="L155" i="16" s="1"/>
  <c r="L192" i="16" s="1"/>
  <c r="L124" i="16"/>
  <c r="L161" i="16" s="1"/>
  <c r="L198" i="16" s="1"/>
  <c r="H83" i="16"/>
  <c r="P83" i="16" s="1"/>
  <c r="G46" i="16"/>
  <c r="O46" i="16" s="1"/>
  <c r="H120" i="16"/>
  <c r="G83" i="16"/>
  <c r="O83" i="16" s="1"/>
  <c r="H157" i="16"/>
  <c r="G120" i="16"/>
  <c r="O120" i="16" s="1"/>
  <c r="G157" i="16"/>
  <c r="O157" i="16" s="1"/>
  <c r="C7" i="7"/>
  <c r="B7" i="7"/>
  <c r="F49" i="7"/>
  <c r="E51" i="7"/>
  <c r="F52" i="7"/>
  <c r="E54" i="7"/>
  <c r="E50" i="7"/>
  <c r="F51" i="7"/>
  <c r="E53" i="7"/>
  <c r="F54" i="7"/>
  <c r="F50" i="7"/>
  <c r="E49" i="7"/>
  <c r="E52" i="7"/>
  <c r="F53" i="7"/>
  <c r="C43" i="9"/>
  <c r="H46" i="16"/>
  <c r="P46" i="16" s="1"/>
  <c r="H194" i="16"/>
  <c r="T37" i="7"/>
  <c r="N68" i="16"/>
  <c r="N105" i="16" s="1"/>
  <c r="N142" i="16" s="1"/>
  <c r="N179" i="16" s="1"/>
  <c r="N216" i="16" s="1"/>
  <c r="K102" i="16"/>
  <c r="K139" i="16" s="1"/>
  <c r="K176" i="16" s="1"/>
  <c r="K213" i="16" s="1"/>
  <c r="L102" i="16"/>
  <c r="L139" i="16" s="1"/>
  <c r="L176" i="16" s="1"/>
  <c r="L213" i="16" s="1"/>
  <c r="M68" i="16"/>
  <c r="M105" i="16" s="1"/>
  <c r="M142" i="16" s="1"/>
  <c r="M179" i="16" s="1"/>
  <c r="M216" i="16" s="1"/>
  <c r="S37" i="7"/>
  <c r="M32" i="16" s="1"/>
  <c r="J13" i="7"/>
  <c r="I13" i="7"/>
  <c r="G13" i="7"/>
  <c r="C61" i="7" s="1"/>
  <c r="H13" i="7"/>
  <c r="D61" i="7" s="1"/>
  <c r="G55" i="7" l="1"/>
  <c r="C231" i="17"/>
  <c r="H55" i="7"/>
  <c r="D231" i="17"/>
  <c r="G10" i="17"/>
  <c r="G47" i="17" s="1"/>
  <c r="G84" i="17" s="1"/>
  <c r="G121" i="17" s="1"/>
  <c r="G158" i="17" s="1"/>
  <c r="G195" i="17" s="1"/>
  <c r="G232" i="17" s="1"/>
  <c r="G20" i="17"/>
  <c r="G57" i="17" s="1"/>
  <c r="G94" i="17" s="1"/>
  <c r="G131" i="17" s="1"/>
  <c r="G168" i="17" s="1"/>
  <c r="G205" i="17" s="1"/>
  <c r="G242" i="17" s="1"/>
  <c r="H20" i="17"/>
  <c r="H57" i="17" s="1"/>
  <c r="H94" i="17" s="1"/>
  <c r="H131" i="17" s="1"/>
  <c r="H168" i="17" s="1"/>
  <c r="H205" i="17" s="1"/>
  <c r="H242" i="17" s="1"/>
  <c r="H12" i="17"/>
  <c r="H49" i="17" s="1"/>
  <c r="H86" i="17" s="1"/>
  <c r="H123" i="17" s="1"/>
  <c r="H160" i="17" s="1"/>
  <c r="H197" i="17" s="1"/>
  <c r="H234" i="17" s="1"/>
  <c r="G11" i="17"/>
  <c r="G48" i="17" s="1"/>
  <c r="G85" i="17" s="1"/>
  <c r="G122" i="17" s="1"/>
  <c r="G159" i="17" s="1"/>
  <c r="G196" i="17" s="1"/>
  <c r="G233" i="17" s="1"/>
  <c r="H11" i="17"/>
  <c r="H48" i="17" s="1"/>
  <c r="H85" i="17" s="1"/>
  <c r="H122" i="17" s="1"/>
  <c r="H159" i="17" s="1"/>
  <c r="H196" i="17" s="1"/>
  <c r="H233" i="17" s="1"/>
  <c r="H10" i="17"/>
  <c r="H47" i="17" s="1"/>
  <c r="H84" i="17" s="1"/>
  <c r="H121" i="17" s="1"/>
  <c r="H158" i="17" s="1"/>
  <c r="H195" i="17" s="1"/>
  <c r="H232" i="17" s="1"/>
  <c r="G12" i="17"/>
  <c r="G49" i="17" s="1"/>
  <c r="G86" i="17" s="1"/>
  <c r="G123" i="17" s="1"/>
  <c r="G160" i="17" s="1"/>
  <c r="G197" i="17" s="1"/>
  <c r="G234" i="17" s="1"/>
  <c r="I15" i="7"/>
  <c r="G15" i="7"/>
  <c r="J15" i="7"/>
  <c r="H15" i="7"/>
  <c r="E55" i="17"/>
  <c r="E92" i="17" s="1"/>
  <c r="E129" i="17" s="1"/>
  <c r="E166" i="17" s="1"/>
  <c r="E203" i="17" s="1"/>
  <c r="E240" i="17" s="1"/>
  <c r="F60" i="17"/>
  <c r="F97" i="17" s="1"/>
  <c r="F134" i="17" s="1"/>
  <c r="F171" i="17" s="1"/>
  <c r="F208" i="17" s="1"/>
  <c r="F245" i="17" s="1"/>
  <c r="E44" i="17"/>
  <c r="E81" i="17" s="1"/>
  <c r="E118" i="17" s="1"/>
  <c r="F55" i="17"/>
  <c r="F92" i="17" s="1"/>
  <c r="F129" i="17" s="1"/>
  <c r="F166" i="17" s="1"/>
  <c r="F203" i="17" s="1"/>
  <c r="F240" i="17" s="1"/>
  <c r="E60" i="17"/>
  <c r="E97" i="17" s="1"/>
  <c r="E134" i="17" s="1"/>
  <c r="E171" i="17" s="1"/>
  <c r="E208" i="17" s="1"/>
  <c r="E245" i="17" s="1"/>
  <c r="G25" i="7"/>
  <c r="I25" i="7"/>
  <c r="H25" i="7"/>
  <c r="J25" i="7"/>
  <c r="J16" i="7"/>
  <c r="H16" i="7"/>
  <c r="J17" i="7"/>
  <c r="H17" i="7"/>
  <c r="G17" i="7"/>
  <c r="G16" i="7"/>
  <c r="I17" i="7"/>
  <c r="I16" i="7"/>
  <c r="C44" i="17"/>
  <c r="C46" i="17"/>
  <c r="D8" i="17"/>
  <c r="D7" i="17"/>
  <c r="D9" i="17"/>
  <c r="C157" i="17"/>
  <c r="D120" i="17"/>
  <c r="D46" i="17"/>
  <c r="C120" i="17"/>
  <c r="C8" i="17"/>
  <c r="C7" i="17"/>
  <c r="C9" i="17"/>
  <c r="D83" i="17"/>
  <c r="C83" i="17"/>
  <c r="D157" i="17"/>
  <c r="D194" i="17"/>
  <c r="C194" i="17"/>
  <c r="I20" i="7"/>
  <c r="I22" i="7"/>
  <c r="I24" i="7"/>
  <c r="I27" i="7"/>
  <c r="I29" i="7"/>
  <c r="I31" i="7"/>
  <c r="I33" i="7"/>
  <c r="I35" i="7"/>
  <c r="I37" i="7"/>
  <c r="I39" i="7"/>
  <c r="I41" i="7"/>
  <c r="I43" i="7"/>
  <c r="G44" i="7"/>
  <c r="G42" i="7"/>
  <c r="G40" i="7"/>
  <c r="G38" i="7"/>
  <c r="G36" i="7"/>
  <c r="G34" i="7"/>
  <c r="G32" i="7"/>
  <c r="I19" i="7"/>
  <c r="I21" i="7"/>
  <c r="I23" i="7"/>
  <c r="I26" i="7"/>
  <c r="I28" i="7"/>
  <c r="I30" i="7"/>
  <c r="I32" i="7"/>
  <c r="I34" i="7"/>
  <c r="I36" i="7"/>
  <c r="I38" i="7"/>
  <c r="I40" i="7"/>
  <c r="I42" i="7"/>
  <c r="I44" i="7"/>
  <c r="I18" i="7"/>
  <c r="G43" i="7"/>
  <c r="G41" i="7"/>
  <c r="G39" i="7"/>
  <c r="G37" i="7"/>
  <c r="G35" i="7"/>
  <c r="G33" i="7"/>
  <c r="G30" i="7"/>
  <c r="G28" i="7"/>
  <c r="G23" i="7"/>
  <c r="G19" i="7"/>
  <c r="G27" i="7"/>
  <c r="G22" i="7"/>
  <c r="G18" i="7"/>
  <c r="G26" i="7"/>
  <c r="G21" i="7"/>
  <c r="G31" i="7"/>
  <c r="G29" i="7"/>
  <c r="G24" i="7"/>
  <c r="G20" i="7"/>
  <c r="H44" i="7"/>
  <c r="H42" i="7"/>
  <c r="H40" i="7"/>
  <c r="H38" i="7"/>
  <c r="H36" i="7"/>
  <c r="H34" i="7"/>
  <c r="H32" i="7"/>
  <c r="H30" i="7"/>
  <c r="H28" i="7"/>
  <c r="H26" i="7"/>
  <c r="H23" i="7"/>
  <c r="H21" i="7"/>
  <c r="H19" i="7"/>
  <c r="J20" i="7"/>
  <c r="J22" i="7"/>
  <c r="J24" i="7"/>
  <c r="J27" i="7"/>
  <c r="J29" i="7"/>
  <c r="J31" i="7"/>
  <c r="J33" i="7"/>
  <c r="J35" i="7"/>
  <c r="J37" i="7"/>
  <c r="J39" i="7"/>
  <c r="J41" i="7"/>
  <c r="J43" i="7"/>
  <c r="J18" i="7"/>
  <c r="H43" i="7"/>
  <c r="H41" i="7"/>
  <c r="H39" i="7"/>
  <c r="H37" i="7"/>
  <c r="H35" i="7"/>
  <c r="H33" i="7"/>
  <c r="H31" i="7"/>
  <c r="H29" i="7"/>
  <c r="H27" i="7"/>
  <c r="H24" i="7"/>
  <c r="H22" i="7"/>
  <c r="H20" i="7"/>
  <c r="H18" i="7"/>
  <c r="J19" i="7"/>
  <c r="J21" i="7"/>
  <c r="J23" i="7"/>
  <c r="J26" i="7"/>
  <c r="J28" i="7"/>
  <c r="J30" i="7"/>
  <c r="J32" i="7"/>
  <c r="J34" i="7"/>
  <c r="J36" i="7"/>
  <c r="J38" i="7"/>
  <c r="J40" i="7"/>
  <c r="J42" i="7"/>
  <c r="J44" i="7"/>
  <c r="G14" i="17"/>
  <c r="G51" i="17" s="1"/>
  <c r="G88" i="17" s="1"/>
  <c r="G125" i="17" s="1"/>
  <c r="G162" i="17" s="1"/>
  <c r="G199" i="17" s="1"/>
  <c r="G236" i="17" s="1"/>
  <c r="G13" i="17"/>
  <c r="G24" i="17"/>
  <c r="G61" i="17" s="1"/>
  <c r="G98" i="17" s="1"/>
  <c r="G135" i="17" s="1"/>
  <c r="G172" i="17" s="1"/>
  <c r="G209" i="17" s="1"/>
  <c r="G246" i="17" s="1"/>
  <c r="G30" i="17"/>
  <c r="G67" i="17" s="1"/>
  <c r="G104" i="17" s="1"/>
  <c r="G141" i="17" s="1"/>
  <c r="G178" i="17" s="1"/>
  <c r="G215" i="17" s="1"/>
  <c r="G252" i="17" s="1"/>
  <c r="G39" i="17"/>
  <c r="G76" i="17" s="1"/>
  <c r="G113" i="17" s="1"/>
  <c r="G150" i="17" s="1"/>
  <c r="G187" i="17" s="1"/>
  <c r="G224" i="17" s="1"/>
  <c r="G261" i="17" s="1"/>
  <c r="G19" i="17"/>
  <c r="H14" i="17"/>
  <c r="H51" i="17" s="1"/>
  <c r="H88" i="17" s="1"/>
  <c r="H125" i="17" s="1"/>
  <c r="H162" i="17" s="1"/>
  <c r="H199" i="17" s="1"/>
  <c r="H236" i="17" s="1"/>
  <c r="H23" i="17"/>
  <c r="H29" i="17"/>
  <c r="H66" i="17" s="1"/>
  <c r="H103" i="17" s="1"/>
  <c r="H140" i="17" s="1"/>
  <c r="H177" i="17" s="1"/>
  <c r="H214" i="17" s="1"/>
  <c r="H251" i="17" s="1"/>
  <c r="H8" i="17"/>
  <c r="H22" i="17"/>
  <c r="H28" i="17"/>
  <c r="H65" i="17" s="1"/>
  <c r="H102" i="17" s="1"/>
  <c r="H139" i="17" s="1"/>
  <c r="H176" i="17" s="1"/>
  <c r="H213" i="17" s="1"/>
  <c r="H250" i="17" s="1"/>
  <c r="H38" i="17"/>
  <c r="H75" i="17" s="1"/>
  <c r="H112" i="17" s="1"/>
  <c r="H149" i="17" s="1"/>
  <c r="H186" i="17" s="1"/>
  <c r="H223" i="17" s="1"/>
  <c r="H260" i="17" s="1"/>
  <c r="H19" i="17"/>
  <c r="H27" i="17"/>
  <c r="H64" i="17" s="1"/>
  <c r="H101" i="17" s="1"/>
  <c r="H138" i="17" s="1"/>
  <c r="H175" i="17" s="1"/>
  <c r="H212" i="17" s="1"/>
  <c r="H249" i="17" s="1"/>
  <c r="G33" i="17"/>
  <c r="G70" i="17" s="1"/>
  <c r="G107" i="17" s="1"/>
  <c r="G144" i="17" s="1"/>
  <c r="G181" i="17" s="1"/>
  <c r="G218" i="17" s="1"/>
  <c r="G255" i="17" s="1"/>
  <c r="G21" i="17"/>
  <c r="G58" i="17" s="1"/>
  <c r="G95" i="17" s="1"/>
  <c r="G132" i="17" s="1"/>
  <c r="G169" i="17" s="1"/>
  <c r="G206" i="17" s="1"/>
  <c r="G243" i="17" s="1"/>
  <c r="G16" i="17"/>
  <c r="G53" i="17" s="1"/>
  <c r="G90" i="17" s="1"/>
  <c r="G127" i="17" s="1"/>
  <c r="G164" i="17" s="1"/>
  <c r="G201" i="17" s="1"/>
  <c r="G238" i="17" s="1"/>
  <c r="G32" i="17"/>
  <c r="G69" i="17" s="1"/>
  <c r="G106" i="17" s="1"/>
  <c r="G143" i="17" s="1"/>
  <c r="G180" i="17" s="1"/>
  <c r="G217" i="17" s="1"/>
  <c r="G254" i="17" s="1"/>
  <c r="G15" i="17"/>
  <c r="G52" i="17" s="1"/>
  <c r="G89" i="17" s="1"/>
  <c r="G126" i="17" s="1"/>
  <c r="G163" i="17" s="1"/>
  <c r="G200" i="17" s="1"/>
  <c r="G237" i="17" s="1"/>
  <c r="G27" i="17"/>
  <c r="G64" i="17" s="1"/>
  <c r="G101" i="17" s="1"/>
  <c r="G138" i="17" s="1"/>
  <c r="G175" i="17" s="1"/>
  <c r="G212" i="17" s="1"/>
  <c r="G249" i="17" s="1"/>
  <c r="G7" i="17"/>
  <c r="G29" i="17"/>
  <c r="G66" i="17" s="1"/>
  <c r="G103" i="17" s="1"/>
  <c r="G140" i="17" s="1"/>
  <c r="G177" i="17" s="1"/>
  <c r="G214" i="17" s="1"/>
  <c r="G251" i="17" s="1"/>
  <c r="H25" i="17"/>
  <c r="H62" i="17" s="1"/>
  <c r="H34" i="17"/>
  <c r="H71" i="17" s="1"/>
  <c r="H108" i="17" s="1"/>
  <c r="H145" i="17" s="1"/>
  <c r="H182" i="17" s="1"/>
  <c r="H219" i="17" s="1"/>
  <c r="H256" i="17" s="1"/>
  <c r="H13" i="17"/>
  <c r="H24" i="17"/>
  <c r="H61" i="17" s="1"/>
  <c r="H98" i="17" s="1"/>
  <c r="H135" i="17" s="1"/>
  <c r="H172" i="17" s="1"/>
  <c r="H209" i="17" s="1"/>
  <c r="H246" i="17" s="1"/>
  <c r="H30" i="17"/>
  <c r="H67" i="17" s="1"/>
  <c r="H104" i="17" s="1"/>
  <c r="H141" i="17" s="1"/>
  <c r="H178" i="17" s="1"/>
  <c r="H215" i="17" s="1"/>
  <c r="H252" i="17" s="1"/>
  <c r="H31" i="17"/>
  <c r="H68" i="17" s="1"/>
  <c r="H105" i="17" s="1"/>
  <c r="H142" i="17" s="1"/>
  <c r="H179" i="17" s="1"/>
  <c r="H216" i="17" s="1"/>
  <c r="H253" i="17" s="1"/>
  <c r="G18" i="17"/>
  <c r="G26" i="17"/>
  <c r="G63" i="17" s="1"/>
  <c r="G100" i="17" s="1"/>
  <c r="G137" i="17" s="1"/>
  <c r="G174" i="17" s="1"/>
  <c r="G211" i="17" s="1"/>
  <c r="G248" i="17" s="1"/>
  <c r="G35" i="17"/>
  <c r="G72" i="17" s="1"/>
  <c r="G109" i="17" s="1"/>
  <c r="G146" i="17" s="1"/>
  <c r="G183" i="17" s="1"/>
  <c r="G220" i="17" s="1"/>
  <c r="G257" i="17" s="1"/>
  <c r="G23" i="17"/>
  <c r="G31" i="17"/>
  <c r="G68" i="17" s="1"/>
  <c r="G105" i="17" s="1"/>
  <c r="G142" i="17" s="1"/>
  <c r="G179" i="17" s="1"/>
  <c r="G216" i="17" s="1"/>
  <c r="G253" i="17" s="1"/>
  <c r="G9" i="17"/>
  <c r="G25" i="17"/>
  <c r="G62" i="17" s="1"/>
  <c r="G99" i="17" s="1"/>
  <c r="G136" i="17" s="1"/>
  <c r="G173" i="17" s="1"/>
  <c r="G210" i="17" s="1"/>
  <c r="G247" i="17" s="1"/>
  <c r="G34" i="17"/>
  <c r="G71" i="17" s="1"/>
  <c r="G108" i="17" s="1"/>
  <c r="G145" i="17" s="1"/>
  <c r="G182" i="17" s="1"/>
  <c r="G219" i="17" s="1"/>
  <c r="G256" i="17" s="1"/>
  <c r="H21" i="17"/>
  <c r="H58" i="17" s="1"/>
  <c r="H95" i="17" s="1"/>
  <c r="H132" i="17" s="1"/>
  <c r="H169" i="17" s="1"/>
  <c r="H206" i="17" s="1"/>
  <c r="H243" i="17" s="1"/>
  <c r="H7" i="17"/>
  <c r="H37" i="17"/>
  <c r="H16" i="17"/>
  <c r="H53" i="17" s="1"/>
  <c r="H90" i="17" s="1"/>
  <c r="H127" i="17" s="1"/>
  <c r="H164" i="17" s="1"/>
  <c r="H201" i="17" s="1"/>
  <c r="H238" i="17" s="1"/>
  <c r="H32" i="17"/>
  <c r="H69" i="17" s="1"/>
  <c r="H106" i="17" s="1"/>
  <c r="H143" i="17" s="1"/>
  <c r="H180" i="17" s="1"/>
  <c r="H217" i="17" s="1"/>
  <c r="H254" i="17" s="1"/>
  <c r="H9" i="17"/>
  <c r="H36" i="17"/>
  <c r="H73" i="17" s="1"/>
  <c r="H110" i="17" s="1"/>
  <c r="H147" i="17" s="1"/>
  <c r="H184" i="17" s="1"/>
  <c r="H221" i="17" s="1"/>
  <c r="H258" i="17" s="1"/>
  <c r="H33" i="17"/>
  <c r="H70" i="17" s="1"/>
  <c r="H107" i="17" s="1"/>
  <c r="H144" i="17" s="1"/>
  <c r="H181" i="17" s="1"/>
  <c r="H218" i="17" s="1"/>
  <c r="H255" i="17" s="1"/>
  <c r="G8" i="17"/>
  <c r="G22" i="17"/>
  <c r="G28" i="17"/>
  <c r="G65" i="17" s="1"/>
  <c r="G102" i="17" s="1"/>
  <c r="G139" i="17" s="1"/>
  <c r="G176" i="17" s="1"/>
  <c r="G213" i="17" s="1"/>
  <c r="G250" i="17" s="1"/>
  <c r="G38" i="17"/>
  <c r="G75" i="17" s="1"/>
  <c r="G112" i="17" s="1"/>
  <c r="G149" i="17" s="1"/>
  <c r="G186" i="17" s="1"/>
  <c r="G223" i="17" s="1"/>
  <c r="G260" i="17" s="1"/>
  <c r="G36" i="17"/>
  <c r="G73" i="17" s="1"/>
  <c r="G110" i="17" s="1"/>
  <c r="G147" i="17" s="1"/>
  <c r="G184" i="17" s="1"/>
  <c r="G221" i="17" s="1"/>
  <c r="G258" i="17" s="1"/>
  <c r="G17" i="17"/>
  <c r="G37" i="17"/>
  <c r="H15" i="17"/>
  <c r="H52" i="17" s="1"/>
  <c r="H89" i="17" s="1"/>
  <c r="H126" i="17" s="1"/>
  <c r="H163" i="17" s="1"/>
  <c r="H200" i="17" s="1"/>
  <c r="H237" i="17" s="1"/>
  <c r="H18" i="17"/>
  <c r="H26" i="17"/>
  <c r="H63" i="17" s="1"/>
  <c r="H100" i="17" s="1"/>
  <c r="H137" i="17" s="1"/>
  <c r="H174" i="17" s="1"/>
  <c r="H211" i="17" s="1"/>
  <c r="H248" i="17" s="1"/>
  <c r="H35" i="17"/>
  <c r="H72" i="17" s="1"/>
  <c r="H109" i="17" s="1"/>
  <c r="H146" i="17" s="1"/>
  <c r="H183" i="17" s="1"/>
  <c r="H220" i="17" s="1"/>
  <c r="H257" i="17" s="1"/>
  <c r="H17" i="17"/>
  <c r="H39" i="17"/>
  <c r="H76" i="17" s="1"/>
  <c r="H113" i="17" s="1"/>
  <c r="H150" i="17" s="1"/>
  <c r="H187" i="17" s="1"/>
  <c r="H224" i="17" s="1"/>
  <c r="H261" i="17" s="1"/>
  <c r="E59" i="17"/>
  <c r="F96" i="17"/>
  <c r="F133" i="17" s="1"/>
  <c r="F170" i="17" s="1"/>
  <c r="F207" i="17" s="1"/>
  <c r="F244" i="17" s="1"/>
  <c r="D97" i="7"/>
  <c r="D44" i="17" s="1"/>
  <c r="F193" i="16"/>
  <c r="F156" i="16"/>
  <c r="F119" i="16"/>
  <c r="F82" i="16"/>
  <c r="F45" i="16"/>
  <c r="F8" i="16"/>
  <c r="D193" i="16"/>
  <c r="D156" i="16"/>
  <c r="D82" i="16"/>
  <c r="D119" i="16"/>
  <c r="D45" i="16"/>
  <c r="D8" i="16"/>
  <c r="I221" i="16"/>
  <c r="I184" i="16"/>
  <c r="E36" i="17"/>
  <c r="E73" i="17" s="1"/>
  <c r="E110" i="17" s="1"/>
  <c r="E147" i="17" s="1"/>
  <c r="E184" i="17" s="1"/>
  <c r="E221" i="17" s="1"/>
  <c r="E258" i="17" s="1"/>
  <c r="I73" i="16"/>
  <c r="I110" i="16"/>
  <c r="I147" i="16"/>
  <c r="I36" i="16"/>
  <c r="N32" i="16"/>
  <c r="N69" i="16" s="1"/>
  <c r="N106" i="16" s="1"/>
  <c r="N143" i="16" s="1"/>
  <c r="N180" i="16" s="1"/>
  <c r="N217" i="16" s="1"/>
  <c r="C156" i="16"/>
  <c r="C193" i="16"/>
  <c r="C45" i="16"/>
  <c r="C82" i="16"/>
  <c r="C119" i="16"/>
  <c r="C8" i="16"/>
  <c r="F30" i="17"/>
  <c r="F67" i="17" s="1"/>
  <c r="F104" i="17" s="1"/>
  <c r="F141" i="17" s="1"/>
  <c r="F178" i="17" s="1"/>
  <c r="F215" i="17" s="1"/>
  <c r="F252" i="17" s="1"/>
  <c r="J215" i="16"/>
  <c r="J178" i="16"/>
  <c r="J141" i="16"/>
  <c r="J104" i="16"/>
  <c r="J67" i="16"/>
  <c r="J30" i="16"/>
  <c r="G81" i="16"/>
  <c r="O81" i="16" s="1"/>
  <c r="E193" i="16"/>
  <c r="E156" i="16"/>
  <c r="E45" i="16"/>
  <c r="E119" i="16"/>
  <c r="E82" i="16"/>
  <c r="E8" i="16"/>
  <c r="I215" i="16"/>
  <c r="E30" i="17"/>
  <c r="E67" i="17" s="1"/>
  <c r="E104" i="17" s="1"/>
  <c r="E141" i="17" s="1"/>
  <c r="E178" i="17" s="1"/>
  <c r="E215" i="17" s="1"/>
  <c r="E252" i="17" s="1"/>
  <c r="I178" i="16"/>
  <c r="I67" i="16"/>
  <c r="I141" i="16"/>
  <c r="I104" i="16"/>
  <c r="I30" i="16"/>
  <c r="F36" i="17"/>
  <c r="F73" i="17" s="1"/>
  <c r="F110" i="17" s="1"/>
  <c r="F147" i="17" s="1"/>
  <c r="F184" i="17" s="1"/>
  <c r="F221" i="17" s="1"/>
  <c r="F258" i="17" s="1"/>
  <c r="J221" i="16"/>
  <c r="J184" i="16"/>
  <c r="J110" i="16"/>
  <c r="J147" i="16"/>
  <c r="J73" i="16"/>
  <c r="J36" i="16"/>
  <c r="P194" i="16"/>
  <c r="P157" i="16"/>
  <c r="P120" i="16"/>
  <c r="H81" i="16"/>
  <c r="P81" i="16" s="1"/>
  <c r="G7" i="16"/>
  <c r="O7" i="16" s="1"/>
  <c r="G155" i="16"/>
  <c r="O155" i="16" s="1"/>
  <c r="H7" i="16"/>
  <c r="P7" i="16" s="1"/>
  <c r="H155" i="16"/>
  <c r="P155" i="16" s="1"/>
  <c r="G52" i="7"/>
  <c r="G53" i="7"/>
  <c r="H52" i="7"/>
  <c r="G49" i="7"/>
  <c r="H51" i="7"/>
  <c r="G51" i="7"/>
  <c r="H50" i="7"/>
  <c r="G50" i="7"/>
  <c r="H49" i="7"/>
  <c r="H53" i="7"/>
  <c r="H54" i="7"/>
  <c r="G54" i="7"/>
  <c r="C134" i="7"/>
  <c r="C81" i="17" s="1"/>
  <c r="H44" i="16"/>
  <c r="P44" i="16" s="1"/>
  <c r="H118" i="16"/>
  <c r="P118" i="16" s="1"/>
  <c r="H192" i="16"/>
  <c r="P192" i="16" s="1"/>
  <c r="G44" i="16"/>
  <c r="O44" i="16" s="1"/>
  <c r="G118" i="16"/>
  <c r="O118" i="16" s="1"/>
  <c r="G192" i="16"/>
  <c r="O192" i="16" s="1"/>
  <c r="E120" i="17"/>
  <c r="F118" i="17"/>
  <c r="F120" i="17"/>
  <c r="E119" i="17"/>
  <c r="F119" i="17"/>
  <c r="M69" i="16"/>
  <c r="M106" i="16" s="1"/>
  <c r="M143" i="16" s="1"/>
  <c r="M180" i="16" s="1"/>
  <c r="M217" i="16" s="1"/>
  <c r="D295" i="7" l="1"/>
  <c r="D242" i="17" s="1"/>
  <c r="J242" i="17" s="1"/>
  <c r="D294" i="7"/>
  <c r="D241" i="17" s="1"/>
  <c r="D314" i="7"/>
  <c r="D261" i="17" s="1"/>
  <c r="J261" i="17" s="1"/>
  <c r="D292" i="7"/>
  <c r="D239" i="17" s="1"/>
  <c r="D285" i="7"/>
  <c r="D232" i="17" s="1"/>
  <c r="J232" i="17" s="1"/>
  <c r="D286" i="7"/>
  <c r="D233" i="17" s="1"/>
  <c r="J233" i="17" s="1"/>
  <c r="D311" i="7"/>
  <c r="D258" i="17" s="1"/>
  <c r="J258" i="17" s="1"/>
  <c r="D307" i="7"/>
  <c r="D254" i="17" s="1"/>
  <c r="D313" i="7"/>
  <c r="D260" i="17" s="1"/>
  <c r="J260" i="17" s="1"/>
  <c r="D287" i="7"/>
  <c r="D234" i="17" s="1"/>
  <c r="J234" i="17" s="1"/>
  <c r="D290" i="7"/>
  <c r="D237" i="17" s="1"/>
  <c r="J237" i="17" s="1"/>
  <c r="D301" i="7"/>
  <c r="D248" i="17" s="1"/>
  <c r="D288" i="7"/>
  <c r="D235" i="17" s="1"/>
  <c r="D296" i="7"/>
  <c r="D243" i="17" s="1"/>
  <c r="J243" i="17" s="1"/>
  <c r="D297" i="7"/>
  <c r="D244" i="17" s="1"/>
  <c r="D310" i="7"/>
  <c r="D257" i="17" s="1"/>
  <c r="J257" i="17" s="1"/>
  <c r="D289" i="7"/>
  <c r="D236" i="17" s="1"/>
  <c r="J236" i="17" s="1"/>
  <c r="D302" i="7"/>
  <c r="D249" i="17" s="1"/>
  <c r="J249" i="17" s="1"/>
  <c r="D299" i="7"/>
  <c r="D246" i="17" s="1"/>
  <c r="J246" i="17" s="1"/>
  <c r="D305" i="7"/>
  <c r="D252" i="17" s="1"/>
  <c r="J252" i="17" s="1"/>
  <c r="D298" i="7"/>
  <c r="D245" i="17" s="1"/>
  <c r="D309" i="7"/>
  <c r="D256" i="17" s="1"/>
  <c r="J256" i="17" s="1"/>
  <c r="D293" i="7"/>
  <c r="D240" i="17" s="1"/>
  <c r="D303" i="7"/>
  <c r="D250" i="17" s="1"/>
  <c r="J250" i="17" s="1"/>
  <c r="D304" i="7"/>
  <c r="D251" i="17" s="1"/>
  <c r="J251" i="17" s="1"/>
  <c r="D291" i="7"/>
  <c r="D238" i="17" s="1"/>
  <c r="J238" i="17" s="1"/>
  <c r="D300" i="7"/>
  <c r="D247" i="17" s="1"/>
  <c r="D312" i="7"/>
  <c r="D259" i="17" s="1"/>
  <c r="D306" i="7"/>
  <c r="D253" i="17" s="1"/>
  <c r="D308" i="7"/>
  <c r="D255" i="17" s="1"/>
  <c r="J255" i="17" s="1"/>
  <c r="J248" i="17"/>
  <c r="C296" i="7"/>
  <c r="C243" i="17" s="1"/>
  <c r="I243" i="17" s="1"/>
  <c r="C300" i="7"/>
  <c r="C247" i="17" s="1"/>
  <c r="I247" i="17" s="1"/>
  <c r="C305" i="7"/>
  <c r="C252" i="17" s="1"/>
  <c r="I252" i="17" s="1"/>
  <c r="C302" i="7"/>
  <c r="C249" i="17" s="1"/>
  <c r="I249" i="17" s="1"/>
  <c r="C308" i="7"/>
  <c r="C255" i="17" s="1"/>
  <c r="I255" i="17" s="1"/>
  <c r="C298" i="7"/>
  <c r="C245" i="17" s="1"/>
  <c r="C286" i="7"/>
  <c r="C233" i="17" s="1"/>
  <c r="I233" i="17" s="1"/>
  <c r="C291" i="7"/>
  <c r="C238" i="17" s="1"/>
  <c r="I238" i="17" s="1"/>
  <c r="C290" i="7"/>
  <c r="C237" i="17" s="1"/>
  <c r="I237" i="17" s="1"/>
  <c r="C288" i="7"/>
  <c r="C235" i="17" s="1"/>
  <c r="C312" i="7"/>
  <c r="C259" i="17" s="1"/>
  <c r="C287" i="7"/>
  <c r="C234" i="17" s="1"/>
  <c r="I234" i="17" s="1"/>
  <c r="C306" i="7"/>
  <c r="C253" i="17" s="1"/>
  <c r="C313" i="7"/>
  <c r="C260" i="17" s="1"/>
  <c r="I260" i="17" s="1"/>
  <c r="C297" i="7"/>
  <c r="C244" i="17" s="1"/>
  <c r="C307" i="7"/>
  <c r="C254" i="17" s="1"/>
  <c r="C314" i="7"/>
  <c r="C261" i="17" s="1"/>
  <c r="I261" i="17" s="1"/>
  <c r="C289" i="7"/>
  <c r="C236" i="17" s="1"/>
  <c r="I236" i="17" s="1"/>
  <c r="C303" i="7"/>
  <c r="C250" i="17" s="1"/>
  <c r="I250" i="17" s="1"/>
  <c r="C294" i="7"/>
  <c r="C241" i="17" s="1"/>
  <c r="C304" i="7"/>
  <c r="C251" i="17" s="1"/>
  <c r="I251" i="17" s="1"/>
  <c r="C311" i="7"/>
  <c r="C258" i="17" s="1"/>
  <c r="I258" i="17" s="1"/>
  <c r="C295" i="7"/>
  <c r="C242" i="17" s="1"/>
  <c r="I242" i="17" s="1"/>
  <c r="C301" i="7"/>
  <c r="C248" i="17" s="1"/>
  <c r="I248" i="17" s="1"/>
  <c r="C292" i="7"/>
  <c r="C239" i="17" s="1"/>
  <c r="C310" i="7"/>
  <c r="C257" i="17" s="1"/>
  <c r="I257" i="17" s="1"/>
  <c r="C285" i="7"/>
  <c r="C232" i="17" s="1"/>
  <c r="I232" i="17" s="1"/>
  <c r="C309" i="7"/>
  <c r="C256" i="17" s="1"/>
  <c r="I256" i="17" s="1"/>
  <c r="C293" i="7"/>
  <c r="C240" i="17" s="1"/>
  <c r="C299" i="7"/>
  <c r="C246" i="17" s="1"/>
  <c r="I246" i="17" s="1"/>
  <c r="D195" i="16"/>
  <c r="D47" i="16"/>
  <c r="D121" i="16"/>
  <c r="D84" i="16"/>
  <c r="D10" i="16"/>
  <c r="D158" i="16"/>
  <c r="F195" i="16"/>
  <c r="F10" i="16"/>
  <c r="F84" i="16"/>
  <c r="F121" i="16"/>
  <c r="F47" i="16"/>
  <c r="F158" i="16"/>
  <c r="C195" i="16"/>
  <c r="C121" i="16"/>
  <c r="C158" i="16"/>
  <c r="C84" i="16"/>
  <c r="C10" i="16"/>
  <c r="C47" i="16"/>
  <c r="E195" i="16"/>
  <c r="E121" i="16"/>
  <c r="E10" i="16"/>
  <c r="E158" i="16"/>
  <c r="E47" i="16"/>
  <c r="E84" i="16"/>
  <c r="D258" i="7"/>
  <c r="D205" i="17" s="1"/>
  <c r="J205" i="17" s="1"/>
  <c r="D248" i="7"/>
  <c r="D195" i="17" s="1"/>
  <c r="J195" i="17" s="1"/>
  <c r="D110" i="7"/>
  <c r="D57" i="17" s="1"/>
  <c r="J57" i="17" s="1"/>
  <c r="D100" i="7"/>
  <c r="D47" i="17" s="1"/>
  <c r="J47" i="17" s="1"/>
  <c r="D184" i="7"/>
  <c r="D131" i="17" s="1"/>
  <c r="J131" i="17" s="1"/>
  <c r="D174" i="7"/>
  <c r="D121" i="17" s="1"/>
  <c r="J121" i="17" s="1"/>
  <c r="D221" i="7"/>
  <c r="D168" i="17" s="1"/>
  <c r="J168" i="17" s="1"/>
  <c r="D211" i="7"/>
  <c r="D158" i="17" s="1"/>
  <c r="J158" i="17" s="1"/>
  <c r="C147" i="7"/>
  <c r="C94" i="17" s="1"/>
  <c r="I94" i="17" s="1"/>
  <c r="C137" i="7"/>
  <c r="C84" i="17" s="1"/>
  <c r="I84" i="17" s="1"/>
  <c r="C138" i="7"/>
  <c r="C85" i="17" s="1"/>
  <c r="I85" i="17" s="1"/>
  <c r="C221" i="7"/>
  <c r="C168" i="17" s="1"/>
  <c r="I168" i="17" s="1"/>
  <c r="C211" i="7"/>
  <c r="C158" i="17" s="1"/>
  <c r="I158" i="17" s="1"/>
  <c r="D73" i="7"/>
  <c r="D20" i="17" s="1"/>
  <c r="J20" i="17" s="1"/>
  <c r="D63" i="7"/>
  <c r="D10" i="17" s="1"/>
  <c r="J10" i="17" s="1"/>
  <c r="D147" i="7"/>
  <c r="D94" i="17" s="1"/>
  <c r="J94" i="17" s="1"/>
  <c r="D137" i="7"/>
  <c r="D84" i="17" s="1"/>
  <c r="J84" i="17" s="1"/>
  <c r="C184" i="7"/>
  <c r="C131" i="17" s="1"/>
  <c r="I131" i="17" s="1"/>
  <c r="C174" i="7"/>
  <c r="C121" i="17" s="1"/>
  <c r="I121" i="17" s="1"/>
  <c r="C258" i="7"/>
  <c r="C205" i="17" s="1"/>
  <c r="I205" i="17" s="1"/>
  <c r="C248" i="7"/>
  <c r="C195" i="17" s="1"/>
  <c r="I195" i="17" s="1"/>
  <c r="C110" i="7"/>
  <c r="C57" i="17" s="1"/>
  <c r="I57" i="17" s="1"/>
  <c r="C100" i="7"/>
  <c r="C47" i="17" s="1"/>
  <c r="I47" i="17" s="1"/>
  <c r="C73" i="7"/>
  <c r="C20" i="17" s="1"/>
  <c r="I20" i="17" s="1"/>
  <c r="C63" i="7"/>
  <c r="C10" i="17" s="1"/>
  <c r="I10" i="17" s="1"/>
  <c r="G54" i="17"/>
  <c r="G91" i="17" s="1"/>
  <c r="G128" i="17" s="1"/>
  <c r="G165" i="17" s="1"/>
  <c r="G202" i="17" s="1"/>
  <c r="G239" i="17" s="1"/>
  <c r="H46" i="17"/>
  <c r="H83" i="17" s="1"/>
  <c r="F205" i="16"/>
  <c r="F131" i="16"/>
  <c r="F57" i="16"/>
  <c r="F168" i="16"/>
  <c r="F94" i="16"/>
  <c r="F20" i="16"/>
  <c r="H55" i="17"/>
  <c r="H92" i="17" s="1"/>
  <c r="H129" i="17" s="1"/>
  <c r="H166" i="17" s="1"/>
  <c r="H203" i="17" s="1"/>
  <c r="H240" i="17" s="1"/>
  <c r="H50" i="17"/>
  <c r="H87" i="17" s="1"/>
  <c r="H56" i="17"/>
  <c r="H93" i="17" s="1"/>
  <c r="H130" i="17" s="1"/>
  <c r="H167" i="17" s="1"/>
  <c r="H204" i="17" s="1"/>
  <c r="H241" i="17" s="1"/>
  <c r="J241" i="17" s="1"/>
  <c r="G56" i="17"/>
  <c r="G93" i="17" s="1"/>
  <c r="G130" i="17" s="1"/>
  <c r="G167" i="17" s="1"/>
  <c r="G204" i="17" s="1"/>
  <c r="G241" i="17" s="1"/>
  <c r="I241" i="17" s="1"/>
  <c r="D168" i="16"/>
  <c r="D94" i="16"/>
  <c r="D20" i="16"/>
  <c r="D205" i="16"/>
  <c r="D131" i="16"/>
  <c r="D57" i="16"/>
  <c r="H54" i="17"/>
  <c r="H91" i="17" s="1"/>
  <c r="H128" i="17" s="1"/>
  <c r="H165" i="17" s="1"/>
  <c r="H202" i="17" s="1"/>
  <c r="H239" i="17" s="1"/>
  <c r="G60" i="17"/>
  <c r="G97" i="17" s="1"/>
  <c r="G134" i="17" s="1"/>
  <c r="G171" i="17" s="1"/>
  <c r="G208" i="17" s="1"/>
  <c r="G245" i="17" s="1"/>
  <c r="I245" i="17" s="1"/>
  <c r="E94" i="16"/>
  <c r="E20" i="16"/>
  <c r="E205" i="16"/>
  <c r="E131" i="16"/>
  <c r="E57" i="16"/>
  <c r="E168" i="16"/>
  <c r="G59" i="17"/>
  <c r="G96" i="17" s="1"/>
  <c r="G133" i="17" s="1"/>
  <c r="G170" i="17" s="1"/>
  <c r="G207" i="17" s="1"/>
  <c r="G244" i="17" s="1"/>
  <c r="H44" i="17"/>
  <c r="J44" i="17" s="1"/>
  <c r="G46" i="17"/>
  <c r="G83" i="17" s="1"/>
  <c r="G120" i="17" s="1"/>
  <c r="G157" i="17" s="1"/>
  <c r="G194" i="17" s="1"/>
  <c r="G231" i="17" s="1"/>
  <c r="H59" i="17"/>
  <c r="H96" i="17" s="1"/>
  <c r="G45" i="17"/>
  <c r="G82" i="17" s="1"/>
  <c r="G119" i="17" s="1"/>
  <c r="G156" i="17" s="1"/>
  <c r="G193" i="17" s="1"/>
  <c r="G230" i="17" s="1"/>
  <c r="G55" i="17"/>
  <c r="G92" i="17" s="1"/>
  <c r="G129" i="17" s="1"/>
  <c r="G166" i="17" s="1"/>
  <c r="G203" i="17" s="1"/>
  <c r="G240" i="17" s="1"/>
  <c r="H45" i="17"/>
  <c r="H82" i="17" s="1"/>
  <c r="H119" i="17" s="1"/>
  <c r="H156" i="17" s="1"/>
  <c r="H193" i="17" s="1"/>
  <c r="H230" i="17" s="1"/>
  <c r="G50" i="17"/>
  <c r="G87" i="17" s="1"/>
  <c r="G124" i="17" s="1"/>
  <c r="G161" i="17" s="1"/>
  <c r="G198" i="17" s="1"/>
  <c r="G235" i="17" s="1"/>
  <c r="I235" i="17" s="1"/>
  <c r="G74" i="17"/>
  <c r="G111" i="17" s="1"/>
  <c r="G148" i="17" s="1"/>
  <c r="G185" i="17" s="1"/>
  <c r="G222" i="17" s="1"/>
  <c r="G259" i="17" s="1"/>
  <c r="H74" i="17"/>
  <c r="H111" i="17" s="1"/>
  <c r="H60" i="17"/>
  <c r="H97" i="17" s="1"/>
  <c r="H134" i="17" s="1"/>
  <c r="H171" i="17" s="1"/>
  <c r="H208" i="17" s="1"/>
  <c r="H245" i="17" s="1"/>
  <c r="J245" i="17" s="1"/>
  <c r="C131" i="16"/>
  <c r="C57" i="16"/>
  <c r="C168" i="16"/>
  <c r="C94" i="16"/>
  <c r="C20" i="16"/>
  <c r="C205" i="16"/>
  <c r="D249" i="7"/>
  <c r="D196" i="17" s="1"/>
  <c r="J196" i="17" s="1"/>
  <c r="D250" i="7"/>
  <c r="D197" i="17" s="1"/>
  <c r="J197" i="17" s="1"/>
  <c r="D101" i="7"/>
  <c r="D48" i="17" s="1"/>
  <c r="J48" i="17" s="1"/>
  <c r="D102" i="7"/>
  <c r="D49" i="17" s="1"/>
  <c r="J49" i="17" s="1"/>
  <c r="D203" i="7"/>
  <c r="D150" i="17" s="1"/>
  <c r="D175" i="7"/>
  <c r="D122" i="17" s="1"/>
  <c r="J122" i="17" s="1"/>
  <c r="D176" i="7"/>
  <c r="D123" i="17" s="1"/>
  <c r="J123" i="17" s="1"/>
  <c r="E159" i="16"/>
  <c r="E85" i="16"/>
  <c r="E11" i="16"/>
  <c r="E196" i="16"/>
  <c r="E122" i="16"/>
  <c r="E48" i="16"/>
  <c r="D160" i="16"/>
  <c r="D197" i="16"/>
  <c r="D123" i="16"/>
  <c r="D49" i="16"/>
  <c r="D12" i="16"/>
  <c r="D86" i="16"/>
  <c r="D212" i="7"/>
  <c r="D159" i="17" s="1"/>
  <c r="J159" i="17" s="1"/>
  <c r="D213" i="7"/>
  <c r="D160" i="17" s="1"/>
  <c r="J160" i="17" s="1"/>
  <c r="C139" i="7"/>
  <c r="C86" i="17" s="1"/>
  <c r="I86" i="17" s="1"/>
  <c r="C212" i="7"/>
  <c r="C159" i="17" s="1"/>
  <c r="I159" i="17" s="1"/>
  <c r="C213" i="7"/>
  <c r="C160" i="17" s="1"/>
  <c r="I160" i="17" s="1"/>
  <c r="E197" i="16"/>
  <c r="E123" i="16"/>
  <c r="E86" i="16"/>
  <c r="E49" i="16"/>
  <c r="E12" i="16"/>
  <c r="E160" i="16"/>
  <c r="F197" i="16"/>
  <c r="F123" i="16"/>
  <c r="F86" i="16"/>
  <c r="F49" i="16"/>
  <c r="F12" i="16"/>
  <c r="F160" i="16"/>
  <c r="D64" i="7"/>
  <c r="D11" i="17" s="1"/>
  <c r="J11" i="17" s="1"/>
  <c r="D65" i="7"/>
  <c r="D12" i="17" s="1"/>
  <c r="J12" i="17" s="1"/>
  <c r="D138" i="7"/>
  <c r="D85" i="17" s="1"/>
  <c r="J85" i="17" s="1"/>
  <c r="D139" i="7"/>
  <c r="D86" i="17" s="1"/>
  <c r="J86" i="17" s="1"/>
  <c r="C203" i="7"/>
  <c r="C150" i="17" s="1"/>
  <c r="C175" i="7"/>
  <c r="C122" i="17" s="1"/>
  <c r="I122" i="17" s="1"/>
  <c r="C176" i="7"/>
  <c r="C123" i="17" s="1"/>
  <c r="I123" i="17" s="1"/>
  <c r="C196" i="16"/>
  <c r="C122" i="16"/>
  <c r="C85" i="16"/>
  <c r="C48" i="16"/>
  <c r="C11" i="16"/>
  <c r="C159" i="16"/>
  <c r="D196" i="16"/>
  <c r="D122" i="16"/>
  <c r="D85" i="16"/>
  <c r="D48" i="16"/>
  <c r="D11" i="16"/>
  <c r="D159" i="16"/>
  <c r="C249" i="7"/>
  <c r="C196" i="17" s="1"/>
  <c r="I196" i="17" s="1"/>
  <c r="C250" i="7"/>
  <c r="C197" i="17" s="1"/>
  <c r="I197" i="17" s="1"/>
  <c r="C101" i="7"/>
  <c r="C48" i="17" s="1"/>
  <c r="I48" i="17" s="1"/>
  <c r="C102" i="7"/>
  <c r="C49" i="17" s="1"/>
  <c r="I49" i="17" s="1"/>
  <c r="C64" i="7"/>
  <c r="C11" i="17" s="1"/>
  <c r="I11" i="17" s="1"/>
  <c r="C65" i="7"/>
  <c r="C12" i="17" s="1"/>
  <c r="I12" i="17" s="1"/>
  <c r="C160" i="16"/>
  <c r="G160" i="16" s="1"/>
  <c r="O160" i="16" s="1"/>
  <c r="C86" i="16"/>
  <c r="C197" i="16"/>
  <c r="C123" i="16"/>
  <c r="C49" i="16"/>
  <c r="C12" i="16"/>
  <c r="F159" i="16"/>
  <c r="F196" i="16"/>
  <c r="F122" i="16"/>
  <c r="F48" i="16"/>
  <c r="F85" i="16"/>
  <c r="F11" i="16"/>
  <c r="C277" i="7"/>
  <c r="C224" i="17" s="1"/>
  <c r="C275" i="7"/>
  <c r="C222" i="17" s="1"/>
  <c r="C273" i="7"/>
  <c r="C220" i="17" s="1"/>
  <c r="C271" i="7"/>
  <c r="C218" i="17" s="1"/>
  <c r="I218" i="17" s="1"/>
  <c r="C269" i="7"/>
  <c r="C216" i="17" s="1"/>
  <c r="C267" i="7"/>
  <c r="C214" i="17" s="1"/>
  <c r="C265" i="7"/>
  <c r="C212" i="17" s="1"/>
  <c r="C263" i="7"/>
  <c r="C210" i="17" s="1"/>
  <c r="C261" i="7"/>
  <c r="C208" i="17" s="1"/>
  <c r="C259" i="7"/>
  <c r="C206" i="17" s="1"/>
  <c r="I206" i="17" s="1"/>
  <c r="C256" i="7"/>
  <c r="C203" i="17" s="1"/>
  <c r="C254" i="7"/>
  <c r="C201" i="17" s="1"/>
  <c r="C252" i="7"/>
  <c r="C199" i="17" s="1"/>
  <c r="I199" i="17" s="1"/>
  <c r="C276" i="7"/>
  <c r="C223" i="17" s="1"/>
  <c r="C274" i="7"/>
  <c r="C221" i="17" s="1"/>
  <c r="C272" i="7"/>
  <c r="C219" i="17" s="1"/>
  <c r="C270" i="7"/>
  <c r="C217" i="17" s="1"/>
  <c r="C268" i="7"/>
  <c r="C215" i="17" s="1"/>
  <c r="C266" i="7"/>
  <c r="C213" i="17" s="1"/>
  <c r="C264" i="7"/>
  <c r="C211" i="17" s="1"/>
  <c r="C262" i="7"/>
  <c r="C209" i="17" s="1"/>
  <c r="C260" i="7"/>
  <c r="C207" i="17" s="1"/>
  <c r="C257" i="7"/>
  <c r="C204" i="17" s="1"/>
  <c r="C255" i="7"/>
  <c r="C202" i="17" s="1"/>
  <c r="C253" i="7"/>
  <c r="C200" i="17" s="1"/>
  <c r="C251" i="7"/>
  <c r="C198" i="17" s="1"/>
  <c r="C129" i="7"/>
  <c r="C76" i="17" s="1"/>
  <c r="C127" i="7"/>
  <c r="C74" i="17" s="1"/>
  <c r="C125" i="7"/>
  <c r="C72" i="17" s="1"/>
  <c r="C123" i="7"/>
  <c r="C70" i="17" s="1"/>
  <c r="I70" i="17" s="1"/>
  <c r="C121" i="7"/>
  <c r="C68" i="17" s="1"/>
  <c r="C119" i="7"/>
  <c r="C66" i="17" s="1"/>
  <c r="C117" i="7"/>
  <c r="C64" i="17" s="1"/>
  <c r="C115" i="7"/>
  <c r="C62" i="17" s="1"/>
  <c r="C113" i="7"/>
  <c r="C60" i="17" s="1"/>
  <c r="C111" i="7"/>
  <c r="C58" i="17" s="1"/>
  <c r="I58" i="17" s="1"/>
  <c r="C108" i="7"/>
  <c r="C55" i="17" s="1"/>
  <c r="C106" i="7"/>
  <c r="C53" i="17" s="1"/>
  <c r="C104" i="7"/>
  <c r="C51" i="17" s="1"/>
  <c r="I51" i="17" s="1"/>
  <c r="C128" i="7"/>
  <c r="C75" i="17" s="1"/>
  <c r="C126" i="7"/>
  <c r="C73" i="17" s="1"/>
  <c r="C124" i="7"/>
  <c r="C71" i="17" s="1"/>
  <c r="C122" i="7"/>
  <c r="C69" i="17" s="1"/>
  <c r="C120" i="7"/>
  <c r="C67" i="17" s="1"/>
  <c r="C118" i="7"/>
  <c r="C65" i="17" s="1"/>
  <c r="C116" i="7"/>
  <c r="C63" i="17" s="1"/>
  <c r="C114" i="7"/>
  <c r="C61" i="17" s="1"/>
  <c r="C112" i="7"/>
  <c r="C59" i="17" s="1"/>
  <c r="C109" i="7"/>
  <c r="C56" i="17" s="1"/>
  <c r="C107" i="7"/>
  <c r="C54" i="17" s="1"/>
  <c r="C105" i="7"/>
  <c r="C52" i="17" s="1"/>
  <c r="C103" i="7"/>
  <c r="C50" i="17" s="1"/>
  <c r="D202" i="7"/>
  <c r="D149" i="17" s="1"/>
  <c r="D200" i="7"/>
  <c r="D147" i="17" s="1"/>
  <c r="D198" i="7"/>
  <c r="D145" i="17" s="1"/>
  <c r="D196" i="7"/>
  <c r="D143" i="17" s="1"/>
  <c r="D194" i="7"/>
  <c r="D141" i="17" s="1"/>
  <c r="D192" i="7"/>
  <c r="D139" i="17" s="1"/>
  <c r="D190" i="7"/>
  <c r="D137" i="17" s="1"/>
  <c r="D188" i="7"/>
  <c r="D135" i="17" s="1"/>
  <c r="D186" i="7"/>
  <c r="D133" i="17" s="1"/>
  <c r="D183" i="7"/>
  <c r="D130" i="17" s="1"/>
  <c r="D181" i="7"/>
  <c r="D128" i="17" s="1"/>
  <c r="D179" i="7"/>
  <c r="D126" i="17" s="1"/>
  <c r="D177" i="7"/>
  <c r="D124" i="17" s="1"/>
  <c r="D201" i="7"/>
  <c r="D148" i="17" s="1"/>
  <c r="D193" i="7"/>
  <c r="D140" i="17" s="1"/>
  <c r="D187" i="7"/>
  <c r="D134" i="17" s="1"/>
  <c r="D178" i="7"/>
  <c r="D125" i="17" s="1"/>
  <c r="J125" i="17" s="1"/>
  <c r="D199" i="7"/>
  <c r="D146" i="17" s="1"/>
  <c r="D191" i="7"/>
  <c r="D138" i="17" s="1"/>
  <c r="D185" i="7"/>
  <c r="D132" i="17" s="1"/>
  <c r="J132" i="17" s="1"/>
  <c r="D180" i="7"/>
  <c r="D127" i="17" s="1"/>
  <c r="D197" i="7"/>
  <c r="D144" i="17" s="1"/>
  <c r="J144" i="17" s="1"/>
  <c r="D189" i="7"/>
  <c r="D136" i="17" s="1"/>
  <c r="D182" i="7"/>
  <c r="D129" i="17" s="1"/>
  <c r="D195" i="7"/>
  <c r="D142" i="17" s="1"/>
  <c r="D276" i="7"/>
  <c r="D223" i="17" s="1"/>
  <c r="D274" i="7"/>
  <c r="D221" i="17" s="1"/>
  <c r="D272" i="7"/>
  <c r="D219" i="17" s="1"/>
  <c r="D270" i="7"/>
  <c r="D217" i="17" s="1"/>
  <c r="D268" i="7"/>
  <c r="D215" i="17" s="1"/>
  <c r="D266" i="7"/>
  <c r="D213" i="17" s="1"/>
  <c r="D264" i="7"/>
  <c r="D211" i="17" s="1"/>
  <c r="D262" i="7"/>
  <c r="D209" i="17" s="1"/>
  <c r="D260" i="7"/>
  <c r="D207" i="17" s="1"/>
  <c r="D257" i="7"/>
  <c r="D204" i="17" s="1"/>
  <c r="D255" i="7"/>
  <c r="D202" i="17" s="1"/>
  <c r="D253" i="7"/>
  <c r="D200" i="17" s="1"/>
  <c r="D251" i="7"/>
  <c r="D198" i="17" s="1"/>
  <c r="D273" i="7"/>
  <c r="D220" i="17" s="1"/>
  <c r="D265" i="7"/>
  <c r="D212" i="17" s="1"/>
  <c r="D259" i="7"/>
  <c r="D206" i="17" s="1"/>
  <c r="J206" i="17" s="1"/>
  <c r="D267" i="7"/>
  <c r="D214" i="17" s="1"/>
  <c r="D252" i="7"/>
  <c r="D199" i="17" s="1"/>
  <c r="J199" i="17" s="1"/>
  <c r="D271" i="7"/>
  <c r="D218" i="17" s="1"/>
  <c r="J218" i="17" s="1"/>
  <c r="D263" i="7"/>
  <c r="D210" i="17" s="1"/>
  <c r="D256" i="7"/>
  <c r="D203" i="17" s="1"/>
  <c r="D275" i="7"/>
  <c r="D222" i="17" s="1"/>
  <c r="D261" i="7"/>
  <c r="D208" i="17" s="1"/>
  <c r="D277" i="7"/>
  <c r="D224" i="17" s="1"/>
  <c r="D269" i="7"/>
  <c r="D216" i="17" s="1"/>
  <c r="D254" i="7"/>
  <c r="D201" i="17" s="1"/>
  <c r="D128" i="7"/>
  <c r="D75" i="17" s="1"/>
  <c r="D126" i="7"/>
  <c r="D73" i="17" s="1"/>
  <c r="D124" i="7"/>
  <c r="D71" i="17" s="1"/>
  <c r="D122" i="7"/>
  <c r="D69" i="17" s="1"/>
  <c r="D120" i="7"/>
  <c r="D67" i="17" s="1"/>
  <c r="D118" i="7"/>
  <c r="D65" i="17" s="1"/>
  <c r="D116" i="7"/>
  <c r="D63" i="17" s="1"/>
  <c r="D114" i="7"/>
  <c r="D61" i="17" s="1"/>
  <c r="D112" i="7"/>
  <c r="D59" i="17" s="1"/>
  <c r="D109" i="7"/>
  <c r="D56" i="17" s="1"/>
  <c r="D107" i="7"/>
  <c r="D54" i="17" s="1"/>
  <c r="D105" i="7"/>
  <c r="D52" i="17" s="1"/>
  <c r="D103" i="7"/>
  <c r="D50" i="17" s="1"/>
  <c r="D129" i="7"/>
  <c r="D76" i="17" s="1"/>
  <c r="D121" i="7"/>
  <c r="D68" i="17" s="1"/>
  <c r="D106" i="7"/>
  <c r="D53" i="17" s="1"/>
  <c r="D123" i="7"/>
  <c r="D70" i="17" s="1"/>
  <c r="J70" i="17" s="1"/>
  <c r="D127" i="7"/>
  <c r="D74" i="17" s="1"/>
  <c r="D119" i="7"/>
  <c r="D66" i="17" s="1"/>
  <c r="D113" i="7"/>
  <c r="D60" i="17" s="1"/>
  <c r="D104" i="7"/>
  <c r="D51" i="17" s="1"/>
  <c r="J51" i="17" s="1"/>
  <c r="D108" i="7"/>
  <c r="D55" i="17" s="1"/>
  <c r="D125" i="7"/>
  <c r="D72" i="17" s="1"/>
  <c r="D117" i="7"/>
  <c r="D64" i="17" s="1"/>
  <c r="D111" i="7"/>
  <c r="D58" i="17" s="1"/>
  <c r="J58" i="17" s="1"/>
  <c r="D115" i="7"/>
  <c r="D62" i="17" s="1"/>
  <c r="C165" i="7"/>
  <c r="C112" i="17" s="1"/>
  <c r="C163" i="7"/>
  <c r="C110" i="17" s="1"/>
  <c r="C161" i="7"/>
  <c r="C108" i="17" s="1"/>
  <c r="C159" i="7"/>
  <c r="C106" i="17" s="1"/>
  <c r="C157" i="7"/>
  <c r="C104" i="17" s="1"/>
  <c r="C155" i="7"/>
  <c r="C102" i="17" s="1"/>
  <c r="C153" i="7"/>
  <c r="C100" i="17" s="1"/>
  <c r="C151" i="7"/>
  <c r="C98" i="17" s="1"/>
  <c r="C149" i="7"/>
  <c r="C96" i="17" s="1"/>
  <c r="C146" i="7"/>
  <c r="C93" i="17" s="1"/>
  <c r="C144" i="7"/>
  <c r="C91" i="17" s="1"/>
  <c r="C142" i="7"/>
  <c r="C89" i="17" s="1"/>
  <c r="C140" i="7"/>
  <c r="C87" i="17" s="1"/>
  <c r="C166" i="7"/>
  <c r="C113" i="17" s="1"/>
  <c r="C164" i="7"/>
  <c r="C111" i="17" s="1"/>
  <c r="C162" i="7"/>
  <c r="C109" i="17" s="1"/>
  <c r="C160" i="7"/>
  <c r="C107" i="17" s="1"/>
  <c r="I107" i="17" s="1"/>
  <c r="C158" i="7"/>
  <c r="C105" i="17" s="1"/>
  <c r="C156" i="7"/>
  <c r="C103" i="17" s="1"/>
  <c r="C154" i="7"/>
  <c r="C101" i="17" s="1"/>
  <c r="C152" i="7"/>
  <c r="C99" i="17" s="1"/>
  <c r="C150" i="7"/>
  <c r="C97" i="17" s="1"/>
  <c r="C148" i="7"/>
  <c r="C95" i="17" s="1"/>
  <c r="I95" i="17" s="1"/>
  <c r="C145" i="7"/>
  <c r="C92" i="17" s="1"/>
  <c r="C143" i="7"/>
  <c r="C90" i="17" s="1"/>
  <c r="C141" i="7"/>
  <c r="C88" i="17" s="1"/>
  <c r="I88" i="17" s="1"/>
  <c r="C239" i="7"/>
  <c r="C186" i="17" s="1"/>
  <c r="C237" i="7"/>
  <c r="C184" i="17" s="1"/>
  <c r="C235" i="7"/>
  <c r="C182" i="17" s="1"/>
  <c r="C233" i="7"/>
  <c r="C180" i="17" s="1"/>
  <c r="C231" i="7"/>
  <c r="C178" i="17" s="1"/>
  <c r="C229" i="7"/>
  <c r="C176" i="17" s="1"/>
  <c r="C227" i="7"/>
  <c r="C174" i="17" s="1"/>
  <c r="C225" i="7"/>
  <c r="C172" i="17" s="1"/>
  <c r="C223" i="7"/>
  <c r="C170" i="17" s="1"/>
  <c r="C220" i="7"/>
  <c r="C167" i="17" s="1"/>
  <c r="C218" i="7"/>
  <c r="C165" i="17" s="1"/>
  <c r="C216" i="7"/>
  <c r="C163" i="17" s="1"/>
  <c r="C214" i="7"/>
  <c r="C161" i="17" s="1"/>
  <c r="C240" i="7"/>
  <c r="C187" i="17" s="1"/>
  <c r="C238" i="7"/>
  <c r="C185" i="17" s="1"/>
  <c r="C236" i="7"/>
  <c r="C183" i="17" s="1"/>
  <c r="C234" i="7"/>
  <c r="C181" i="17" s="1"/>
  <c r="I181" i="17" s="1"/>
  <c r="C232" i="7"/>
  <c r="C179" i="17" s="1"/>
  <c r="C230" i="7"/>
  <c r="C177" i="17" s="1"/>
  <c r="C228" i="7"/>
  <c r="C175" i="17" s="1"/>
  <c r="C226" i="7"/>
  <c r="C173" i="17" s="1"/>
  <c r="C224" i="7"/>
  <c r="C171" i="17" s="1"/>
  <c r="C222" i="7"/>
  <c r="C169" i="17" s="1"/>
  <c r="I169" i="17" s="1"/>
  <c r="C219" i="7"/>
  <c r="C166" i="17" s="1"/>
  <c r="C217" i="7"/>
  <c r="C164" i="17" s="1"/>
  <c r="C215" i="7"/>
  <c r="C162" i="17" s="1"/>
  <c r="I162" i="17" s="1"/>
  <c r="D92" i="7"/>
  <c r="D39" i="17" s="1"/>
  <c r="D90" i="7"/>
  <c r="D37" i="17" s="1"/>
  <c r="D88" i="7"/>
  <c r="D35" i="17" s="1"/>
  <c r="D86" i="7"/>
  <c r="D33" i="17" s="1"/>
  <c r="J33" i="17" s="1"/>
  <c r="D84" i="7"/>
  <c r="D31" i="17" s="1"/>
  <c r="D82" i="7"/>
  <c r="D29" i="17" s="1"/>
  <c r="D80" i="7"/>
  <c r="D27" i="17" s="1"/>
  <c r="D78" i="7"/>
  <c r="D25" i="17" s="1"/>
  <c r="D76" i="7"/>
  <c r="D23" i="17" s="1"/>
  <c r="D74" i="7"/>
  <c r="D21" i="17" s="1"/>
  <c r="J21" i="17" s="1"/>
  <c r="D71" i="7"/>
  <c r="D18" i="17" s="1"/>
  <c r="D69" i="7"/>
  <c r="D16" i="17" s="1"/>
  <c r="D67" i="7"/>
  <c r="D14" i="17" s="1"/>
  <c r="J14" i="17" s="1"/>
  <c r="D89" i="7"/>
  <c r="D36" i="17" s="1"/>
  <c r="D81" i="7"/>
  <c r="D28" i="17" s="1"/>
  <c r="D75" i="7"/>
  <c r="D22" i="17" s="1"/>
  <c r="D66" i="7"/>
  <c r="D13" i="17" s="1"/>
  <c r="D79" i="7"/>
  <c r="D26" i="17" s="1"/>
  <c r="D91" i="7"/>
  <c r="D38" i="17" s="1"/>
  <c r="D68" i="7"/>
  <c r="D15" i="17" s="1"/>
  <c r="D87" i="7"/>
  <c r="D34" i="17" s="1"/>
  <c r="D72" i="7"/>
  <c r="D19" i="17" s="1"/>
  <c r="D77" i="7"/>
  <c r="D24" i="17" s="1"/>
  <c r="D85" i="7"/>
  <c r="D32" i="17" s="1"/>
  <c r="D70" i="7"/>
  <c r="D17" i="17" s="1"/>
  <c r="D83" i="7"/>
  <c r="D30" i="17" s="1"/>
  <c r="D240" i="7"/>
  <c r="D187" i="17" s="1"/>
  <c r="D238" i="7"/>
  <c r="D185" i="17" s="1"/>
  <c r="D236" i="7"/>
  <c r="D183" i="17" s="1"/>
  <c r="D234" i="7"/>
  <c r="D181" i="17" s="1"/>
  <c r="J181" i="17" s="1"/>
  <c r="D232" i="7"/>
  <c r="D179" i="17" s="1"/>
  <c r="D230" i="7"/>
  <c r="D177" i="17" s="1"/>
  <c r="D228" i="7"/>
  <c r="D175" i="17" s="1"/>
  <c r="D226" i="7"/>
  <c r="D173" i="17" s="1"/>
  <c r="D224" i="7"/>
  <c r="D171" i="17" s="1"/>
  <c r="D222" i="7"/>
  <c r="D169" i="17" s="1"/>
  <c r="J169" i="17" s="1"/>
  <c r="D219" i="7"/>
  <c r="D166" i="17" s="1"/>
  <c r="D217" i="7"/>
  <c r="D164" i="17" s="1"/>
  <c r="D215" i="7"/>
  <c r="D162" i="17" s="1"/>
  <c r="J162" i="17" s="1"/>
  <c r="D233" i="7"/>
  <c r="D180" i="17" s="1"/>
  <c r="D218" i="7"/>
  <c r="D165" i="17" s="1"/>
  <c r="D227" i="7"/>
  <c r="D174" i="17" s="1"/>
  <c r="D239" i="7"/>
  <c r="D186" i="17" s="1"/>
  <c r="D231" i="7"/>
  <c r="D178" i="17" s="1"/>
  <c r="D225" i="7"/>
  <c r="D172" i="17" s="1"/>
  <c r="D216" i="7"/>
  <c r="D163" i="17" s="1"/>
  <c r="D237" i="7"/>
  <c r="D184" i="17" s="1"/>
  <c r="D229" i="7"/>
  <c r="D176" i="17" s="1"/>
  <c r="D223" i="7"/>
  <c r="D170" i="17" s="1"/>
  <c r="D214" i="7"/>
  <c r="D161" i="17" s="1"/>
  <c r="D235" i="7"/>
  <c r="D182" i="17" s="1"/>
  <c r="D220" i="7"/>
  <c r="D167" i="17" s="1"/>
  <c r="D166" i="7"/>
  <c r="D113" i="17" s="1"/>
  <c r="D164" i="7"/>
  <c r="D111" i="17" s="1"/>
  <c r="D162" i="7"/>
  <c r="D109" i="17" s="1"/>
  <c r="D160" i="7"/>
  <c r="D107" i="17" s="1"/>
  <c r="J107" i="17" s="1"/>
  <c r="D158" i="7"/>
  <c r="D105" i="17" s="1"/>
  <c r="D156" i="7"/>
  <c r="D103" i="17" s="1"/>
  <c r="D154" i="7"/>
  <c r="D101" i="17" s="1"/>
  <c r="D152" i="7"/>
  <c r="D99" i="17" s="1"/>
  <c r="D150" i="7"/>
  <c r="D97" i="17" s="1"/>
  <c r="D148" i="7"/>
  <c r="D95" i="17" s="1"/>
  <c r="J95" i="17" s="1"/>
  <c r="D145" i="7"/>
  <c r="D92" i="17" s="1"/>
  <c r="D143" i="7"/>
  <c r="D90" i="17" s="1"/>
  <c r="D141" i="7"/>
  <c r="D88" i="17" s="1"/>
  <c r="J88" i="17" s="1"/>
  <c r="D161" i="7"/>
  <c r="D108" i="17" s="1"/>
  <c r="D153" i="7"/>
  <c r="D100" i="17" s="1"/>
  <c r="D146" i="7"/>
  <c r="D93" i="17" s="1"/>
  <c r="D163" i="7"/>
  <c r="D110" i="17" s="1"/>
  <c r="D159" i="7"/>
  <c r="D106" i="17" s="1"/>
  <c r="D144" i="7"/>
  <c r="D91" i="17" s="1"/>
  <c r="D149" i="7"/>
  <c r="D96" i="17" s="1"/>
  <c r="D165" i="7"/>
  <c r="D112" i="17" s="1"/>
  <c r="D157" i="7"/>
  <c r="D104" i="17" s="1"/>
  <c r="D151" i="7"/>
  <c r="D98" i="17" s="1"/>
  <c r="D142" i="7"/>
  <c r="D89" i="17" s="1"/>
  <c r="D155" i="7"/>
  <c r="D102" i="17" s="1"/>
  <c r="D140" i="7"/>
  <c r="D87" i="17" s="1"/>
  <c r="C201" i="7"/>
  <c r="C148" i="17" s="1"/>
  <c r="C199" i="7"/>
  <c r="C146" i="17" s="1"/>
  <c r="C197" i="7"/>
  <c r="C144" i="17" s="1"/>
  <c r="I144" i="17" s="1"/>
  <c r="C195" i="7"/>
  <c r="C142" i="17" s="1"/>
  <c r="C193" i="7"/>
  <c r="C140" i="17" s="1"/>
  <c r="C191" i="7"/>
  <c r="C138" i="17" s="1"/>
  <c r="C189" i="7"/>
  <c r="C136" i="17" s="1"/>
  <c r="C187" i="7"/>
  <c r="C134" i="17" s="1"/>
  <c r="C185" i="7"/>
  <c r="C132" i="17" s="1"/>
  <c r="I132" i="17" s="1"/>
  <c r="C182" i="7"/>
  <c r="C129" i="17" s="1"/>
  <c r="C180" i="7"/>
  <c r="C127" i="17" s="1"/>
  <c r="C178" i="7"/>
  <c r="C125" i="17" s="1"/>
  <c r="I125" i="17" s="1"/>
  <c r="C202" i="7"/>
  <c r="C149" i="17" s="1"/>
  <c r="C200" i="7"/>
  <c r="C147" i="17" s="1"/>
  <c r="C198" i="7"/>
  <c r="C145" i="17" s="1"/>
  <c r="C196" i="7"/>
  <c r="C143" i="17" s="1"/>
  <c r="C194" i="7"/>
  <c r="C141" i="17" s="1"/>
  <c r="C192" i="7"/>
  <c r="C139" i="17" s="1"/>
  <c r="C190" i="7"/>
  <c r="C137" i="17" s="1"/>
  <c r="C188" i="7"/>
  <c r="C135" i="17" s="1"/>
  <c r="C186" i="7"/>
  <c r="C133" i="17" s="1"/>
  <c r="C183" i="7"/>
  <c r="C130" i="17" s="1"/>
  <c r="C181" i="7"/>
  <c r="C128" i="17" s="1"/>
  <c r="C179" i="7"/>
  <c r="C126" i="17" s="1"/>
  <c r="C177" i="7"/>
  <c r="C124" i="17" s="1"/>
  <c r="C91" i="7"/>
  <c r="C38" i="17" s="1"/>
  <c r="C89" i="7"/>
  <c r="C36" i="17" s="1"/>
  <c r="C87" i="7"/>
  <c r="C34" i="17" s="1"/>
  <c r="C85" i="7"/>
  <c r="C32" i="17" s="1"/>
  <c r="C83" i="7"/>
  <c r="C30" i="17" s="1"/>
  <c r="C81" i="7"/>
  <c r="C28" i="17" s="1"/>
  <c r="C79" i="7"/>
  <c r="C26" i="17" s="1"/>
  <c r="C77" i="7"/>
  <c r="C24" i="17" s="1"/>
  <c r="C75" i="7"/>
  <c r="C22" i="17" s="1"/>
  <c r="C72" i="7"/>
  <c r="C19" i="17" s="1"/>
  <c r="C70" i="7"/>
  <c r="C17" i="17" s="1"/>
  <c r="C68" i="7"/>
  <c r="C15" i="17" s="1"/>
  <c r="C66" i="7"/>
  <c r="C13" i="17" s="1"/>
  <c r="C67" i="7"/>
  <c r="C14" i="17" s="1"/>
  <c r="I14" i="17" s="1"/>
  <c r="C92" i="7"/>
  <c r="C39" i="17" s="1"/>
  <c r="C90" i="7"/>
  <c r="C37" i="17" s="1"/>
  <c r="C88" i="7"/>
  <c r="C35" i="17" s="1"/>
  <c r="C86" i="7"/>
  <c r="C33" i="17" s="1"/>
  <c r="I33" i="17" s="1"/>
  <c r="C84" i="7"/>
  <c r="C31" i="17" s="1"/>
  <c r="C82" i="7"/>
  <c r="C29" i="17" s="1"/>
  <c r="C80" i="7"/>
  <c r="C27" i="17" s="1"/>
  <c r="C78" i="7"/>
  <c r="C25" i="17" s="1"/>
  <c r="C76" i="7"/>
  <c r="C23" i="17" s="1"/>
  <c r="C74" i="7"/>
  <c r="C21" i="17" s="1"/>
  <c r="I21" i="17" s="1"/>
  <c r="C71" i="7"/>
  <c r="C18" i="17" s="1"/>
  <c r="C69" i="7"/>
  <c r="C16" i="17" s="1"/>
  <c r="D218" i="16"/>
  <c r="D144" i="16"/>
  <c r="D70" i="16"/>
  <c r="D107" i="16"/>
  <c r="D33" i="16"/>
  <c r="D181" i="16"/>
  <c r="C218" i="16"/>
  <c r="C144" i="16"/>
  <c r="C70" i="16"/>
  <c r="C107" i="16"/>
  <c r="C181" i="16"/>
  <c r="C33" i="16"/>
  <c r="F181" i="16"/>
  <c r="F107" i="16"/>
  <c r="F33" i="16"/>
  <c r="F218" i="16"/>
  <c r="F70" i="16"/>
  <c r="F144" i="16"/>
  <c r="D98" i="7"/>
  <c r="E181" i="16"/>
  <c r="E107" i="16"/>
  <c r="E33" i="16"/>
  <c r="E218" i="16"/>
  <c r="E70" i="16"/>
  <c r="E144" i="16"/>
  <c r="C199" i="16"/>
  <c r="C162" i="16"/>
  <c r="C125" i="16"/>
  <c r="C88" i="16"/>
  <c r="C51" i="16"/>
  <c r="C14" i="16"/>
  <c r="E206" i="16"/>
  <c r="E169" i="16"/>
  <c r="E132" i="16"/>
  <c r="E95" i="16"/>
  <c r="E58" i="16"/>
  <c r="E21" i="16"/>
  <c r="E199" i="16"/>
  <c r="E162" i="16"/>
  <c r="E125" i="16"/>
  <c r="E88" i="16"/>
  <c r="E51" i="16"/>
  <c r="E14" i="16"/>
  <c r="C206" i="16"/>
  <c r="C169" i="16"/>
  <c r="C132" i="16"/>
  <c r="C95" i="16"/>
  <c r="C58" i="16"/>
  <c r="C21" i="16"/>
  <c r="F199" i="16"/>
  <c r="F162" i="16"/>
  <c r="F125" i="16"/>
  <c r="F88" i="16"/>
  <c r="F51" i="16"/>
  <c r="F14" i="16"/>
  <c r="F169" i="16"/>
  <c r="F132" i="16"/>
  <c r="F95" i="16"/>
  <c r="F58" i="16"/>
  <c r="F21" i="16"/>
  <c r="F206" i="16"/>
  <c r="D162" i="16"/>
  <c r="D125" i="16"/>
  <c r="D88" i="16"/>
  <c r="D51" i="16"/>
  <c r="D14" i="16"/>
  <c r="D199" i="16"/>
  <c r="D206" i="16"/>
  <c r="D169" i="16"/>
  <c r="D132" i="16"/>
  <c r="D95" i="16"/>
  <c r="D58" i="16"/>
  <c r="D21" i="16"/>
  <c r="E96" i="17"/>
  <c r="E133" i="17" s="1"/>
  <c r="E170" i="17" s="1"/>
  <c r="E207" i="17" s="1"/>
  <c r="E244" i="17" s="1"/>
  <c r="D134" i="7"/>
  <c r="D81" i="17" s="1"/>
  <c r="G8" i="16"/>
  <c r="O8" i="16" s="1"/>
  <c r="E211" i="16"/>
  <c r="E174" i="16"/>
  <c r="E63" i="16"/>
  <c r="E137" i="16"/>
  <c r="E100" i="16"/>
  <c r="E26" i="16"/>
  <c r="C186" i="16"/>
  <c r="C223" i="16"/>
  <c r="C112" i="16"/>
  <c r="C75" i="16"/>
  <c r="C149" i="16"/>
  <c r="C38" i="16"/>
  <c r="E161" i="16"/>
  <c r="E198" i="16"/>
  <c r="E50" i="16"/>
  <c r="E124" i="16"/>
  <c r="E87" i="16"/>
  <c r="E13" i="16"/>
  <c r="C184" i="16"/>
  <c r="C221" i="16"/>
  <c r="C73" i="16"/>
  <c r="C147" i="16"/>
  <c r="C110" i="16"/>
  <c r="C36" i="16"/>
  <c r="E172" i="16"/>
  <c r="E209" i="16"/>
  <c r="E61" i="16"/>
  <c r="E135" i="16"/>
  <c r="E98" i="16"/>
  <c r="E24" i="16"/>
  <c r="C220" i="16"/>
  <c r="C183" i="16"/>
  <c r="C72" i="16"/>
  <c r="C109" i="16"/>
  <c r="C146" i="16"/>
  <c r="C35" i="16"/>
  <c r="C164" i="16"/>
  <c r="C201" i="16"/>
  <c r="C53" i="16"/>
  <c r="C90" i="16"/>
  <c r="C127" i="16"/>
  <c r="C16" i="16"/>
  <c r="D200" i="16"/>
  <c r="D163" i="16"/>
  <c r="D89" i="16"/>
  <c r="D126" i="16"/>
  <c r="D52" i="16"/>
  <c r="D15" i="16"/>
  <c r="F216" i="16"/>
  <c r="F179" i="16"/>
  <c r="F142" i="16"/>
  <c r="F105" i="16"/>
  <c r="F68" i="16"/>
  <c r="F31" i="16"/>
  <c r="D204" i="16"/>
  <c r="D167" i="16"/>
  <c r="D93" i="16"/>
  <c r="D130" i="16"/>
  <c r="D56" i="16"/>
  <c r="D19" i="16"/>
  <c r="F207" i="16"/>
  <c r="F170" i="16"/>
  <c r="F133" i="16"/>
  <c r="F96" i="16"/>
  <c r="F59" i="16"/>
  <c r="F22" i="16"/>
  <c r="D216" i="16"/>
  <c r="D179" i="16"/>
  <c r="D105" i="16"/>
  <c r="D142" i="16"/>
  <c r="D68" i="16"/>
  <c r="D31" i="16"/>
  <c r="F31" i="17"/>
  <c r="F68" i="17" s="1"/>
  <c r="F105" i="17" s="1"/>
  <c r="F142" i="17" s="1"/>
  <c r="F179" i="17" s="1"/>
  <c r="F216" i="17" s="1"/>
  <c r="F253" i="17" s="1"/>
  <c r="J253" i="17" s="1"/>
  <c r="J216" i="16"/>
  <c r="J179" i="16"/>
  <c r="J105" i="16"/>
  <c r="J142" i="16"/>
  <c r="J68" i="16"/>
  <c r="J31" i="16"/>
  <c r="E203" i="16"/>
  <c r="E166" i="16"/>
  <c r="E55" i="16"/>
  <c r="E129" i="16"/>
  <c r="E92" i="16"/>
  <c r="E18" i="16"/>
  <c r="C171" i="16"/>
  <c r="C208" i="16"/>
  <c r="C60" i="16"/>
  <c r="C134" i="16"/>
  <c r="C97" i="16"/>
  <c r="C23" i="16"/>
  <c r="C178" i="16"/>
  <c r="C215" i="16"/>
  <c r="C67" i="16"/>
  <c r="C104" i="16"/>
  <c r="C141" i="16"/>
  <c r="C30" i="16"/>
  <c r="E220" i="16"/>
  <c r="E183" i="16"/>
  <c r="E72" i="16"/>
  <c r="E146" i="16"/>
  <c r="E109" i="16"/>
  <c r="E35" i="16"/>
  <c r="C175" i="16"/>
  <c r="C212" i="16"/>
  <c r="C64" i="16"/>
  <c r="C138" i="16"/>
  <c r="C101" i="16"/>
  <c r="C27" i="16"/>
  <c r="E202" i="16"/>
  <c r="E165" i="16"/>
  <c r="E54" i="16"/>
  <c r="E91" i="16"/>
  <c r="E128" i="16"/>
  <c r="E17" i="16"/>
  <c r="C170" i="16"/>
  <c r="C207" i="16"/>
  <c r="C59" i="16"/>
  <c r="C96" i="16"/>
  <c r="C133" i="16"/>
  <c r="C22" i="16"/>
  <c r="E224" i="16"/>
  <c r="E187" i="16"/>
  <c r="E113" i="16"/>
  <c r="E76" i="16"/>
  <c r="E150" i="16"/>
  <c r="E39" i="16"/>
  <c r="C161" i="16"/>
  <c r="C198" i="16"/>
  <c r="C50" i="16"/>
  <c r="C87" i="16"/>
  <c r="C124" i="16"/>
  <c r="C13" i="16"/>
  <c r="C165" i="16"/>
  <c r="C202" i="16"/>
  <c r="C54" i="16"/>
  <c r="C128" i="16"/>
  <c r="C91" i="16"/>
  <c r="C17" i="16"/>
  <c r="E207" i="16"/>
  <c r="E170" i="16"/>
  <c r="E59" i="16"/>
  <c r="E133" i="16"/>
  <c r="E96" i="16"/>
  <c r="E22" i="16"/>
  <c r="C180" i="16"/>
  <c r="C217" i="16"/>
  <c r="C69" i="16"/>
  <c r="C106" i="16"/>
  <c r="C143" i="16"/>
  <c r="C32" i="16"/>
  <c r="F222" i="16"/>
  <c r="F185" i="16"/>
  <c r="F148" i="16"/>
  <c r="F111" i="16"/>
  <c r="F74" i="16"/>
  <c r="F37" i="16"/>
  <c r="D208" i="16"/>
  <c r="D171" i="16"/>
  <c r="D97" i="16"/>
  <c r="D134" i="16"/>
  <c r="D60" i="16"/>
  <c r="D23" i="16"/>
  <c r="F221" i="16"/>
  <c r="F184" i="16"/>
  <c r="F147" i="16"/>
  <c r="F110" i="16"/>
  <c r="F73" i="16"/>
  <c r="F36" i="16"/>
  <c r="F201" i="16"/>
  <c r="F164" i="16"/>
  <c r="F127" i="16"/>
  <c r="F90" i="16"/>
  <c r="F53" i="16"/>
  <c r="F16" i="16"/>
  <c r="F202" i="16"/>
  <c r="F165" i="16"/>
  <c r="F128" i="16"/>
  <c r="F91" i="16"/>
  <c r="F54" i="16"/>
  <c r="F17" i="16"/>
  <c r="D219" i="16"/>
  <c r="D182" i="16"/>
  <c r="D108" i="16"/>
  <c r="D145" i="16"/>
  <c r="D71" i="16"/>
  <c r="D34" i="16"/>
  <c r="D217" i="16"/>
  <c r="D180" i="16"/>
  <c r="D106" i="16"/>
  <c r="D143" i="16"/>
  <c r="D69" i="16"/>
  <c r="D32" i="16"/>
  <c r="D211" i="16"/>
  <c r="D174" i="16"/>
  <c r="D100" i="16"/>
  <c r="D137" i="16"/>
  <c r="D63" i="16"/>
  <c r="D26" i="16"/>
  <c r="F208" i="16"/>
  <c r="F171" i="16"/>
  <c r="F134" i="16"/>
  <c r="F97" i="16"/>
  <c r="F60" i="16"/>
  <c r="F23" i="16"/>
  <c r="D207" i="16"/>
  <c r="D170" i="16"/>
  <c r="D96" i="16"/>
  <c r="D133" i="16"/>
  <c r="D59" i="16"/>
  <c r="D22" i="16"/>
  <c r="F203" i="16"/>
  <c r="F166" i="16"/>
  <c r="F129" i="16"/>
  <c r="F92" i="16"/>
  <c r="F55" i="16"/>
  <c r="F18" i="16"/>
  <c r="I216" i="16"/>
  <c r="I179" i="16"/>
  <c r="E31" i="17"/>
  <c r="E68" i="17" s="1"/>
  <c r="E105" i="17" s="1"/>
  <c r="E142" i="17" s="1"/>
  <c r="E179" i="17" s="1"/>
  <c r="E216" i="17" s="1"/>
  <c r="E253" i="17" s="1"/>
  <c r="I253" i="17" s="1"/>
  <c r="I68" i="16"/>
  <c r="I105" i="16"/>
  <c r="I142" i="16"/>
  <c r="I31" i="16"/>
  <c r="C98" i="7"/>
  <c r="E223" i="16"/>
  <c r="E186" i="16"/>
  <c r="E149" i="16"/>
  <c r="E75" i="16"/>
  <c r="E112" i="16"/>
  <c r="E38" i="16"/>
  <c r="E221" i="16"/>
  <c r="E184" i="16"/>
  <c r="E73" i="16"/>
  <c r="E110" i="16"/>
  <c r="E147" i="16"/>
  <c r="E36" i="16"/>
  <c r="C222" i="16"/>
  <c r="C185" i="16"/>
  <c r="C148" i="16"/>
  <c r="C111" i="16"/>
  <c r="C74" i="16"/>
  <c r="C37" i="16"/>
  <c r="E216" i="16"/>
  <c r="E179" i="16"/>
  <c r="E68" i="16"/>
  <c r="E105" i="16"/>
  <c r="E142" i="16"/>
  <c r="E31" i="16"/>
  <c r="C182" i="16"/>
  <c r="C219" i="16"/>
  <c r="C71" i="16"/>
  <c r="C145" i="16"/>
  <c r="C108" i="16"/>
  <c r="C34" i="16"/>
  <c r="C174" i="16"/>
  <c r="C211" i="16"/>
  <c r="C63" i="16"/>
  <c r="C100" i="16"/>
  <c r="C137" i="16"/>
  <c r="C26" i="16"/>
  <c r="E222" i="16"/>
  <c r="E185" i="16"/>
  <c r="E74" i="16"/>
  <c r="E111" i="16"/>
  <c r="E148" i="16"/>
  <c r="E37" i="16"/>
  <c r="C224" i="16"/>
  <c r="C187" i="16"/>
  <c r="C150" i="16"/>
  <c r="C113" i="16"/>
  <c r="C76" i="16"/>
  <c r="C39" i="16"/>
  <c r="C163" i="16"/>
  <c r="C200" i="16"/>
  <c r="C52" i="16"/>
  <c r="C126" i="16"/>
  <c r="C89" i="16"/>
  <c r="C15" i="16"/>
  <c r="F198" i="16"/>
  <c r="F161" i="16"/>
  <c r="F124" i="16"/>
  <c r="F87" i="16"/>
  <c r="F50" i="16"/>
  <c r="F13" i="16"/>
  <c r="F212" i="16"/>
  <c r="F175" i="16"/>
  <c r="F138" i="16"/>
  <c r="F101" i="16"/>
  <c r="F64" i="16"/>
  <c r="F27" i="16"/>
  <c r="D224" i="16"/>
  <c r="D187" i="16"/>
  <c r="D113" i="16"/>
  <c r="D150" i="16"/>
  <c r="D76" i="16"/>
  <c r="D39" i="16"/>
  <c r="F217" i="16"/>
  <c r="F180" i="16"/>
  <c r="F143" i="16"/>
  <c r="F106" i="16"/>
  <c r="F69" i="16"/>
  <c r="F32" i="16"/>
  <c r="F219" i="16"/>
  <c r="F182" i="16"/>
  <c r="F145" i="16"/>
  <c r="F108" i="16"/>
  <c r="F71" i="16"/>
  <c r="F34" i="16"/>
  <c r="D202" i="16"/>
  <c r="D165" i="16"/>
  <c r="D91" i="16"/>
  <c r="D128" i="16"/>
  <c r="D54" i="16"/>
  <c r="D17" i="16"/>
  <c r="D201" i="16"/>
  <c r="D164" i="16"/>
  <c r="D90" i="16"/>
  <c r="D127" i="16"/>
  <c r="D53" i="16"/>
  <c r="D16" i="16"/>
  <c r="F209" i="16"/>
  <c r="F172" i="16"/>
  <c r="F135" i="16"/>
  <c r="F98" i="16"/>
  <c r="F61" i="16"/>
  <c r="F24" i="16"/>
  <c r="D212" i="16"/>
  <c r="D175" i="16"/>
  <c r="D101" i="16"/>
  <c r="D138" i="16"/>
  <c r="D64" i="16"/>
  <c r="D27" i="16"/>
  <c r="F214" i="16"/>
  <c r="F177" i="16"/>
  <c r="F140" i="16"/>
  <c r="F103" i="16"/>
  <c r="F66" i="16"/>
  <c r="F29" i="16"/>
  <c r="D223" i="16"/>
  <c r="D186" i="16"/>
  <c r="D112" i="16"/>
  <c r="D149" i="16"/>
  <c r="D75" i="16"/>
  <c r="D38" i="16"/>
  <c r="H8" i="16"/>
  <c r="P8" i="16" s="1"/>
  <c r="E212" i="16"/>
  <c r="E175" i="16"/>
  <c r="E64" i="16"/>
  <c r="E101" i="16"/>
  <c r="E138" i="16"/>
  <c r="E27" i="16"/>
  <c r="C177" i="16"/>
  <c r="C214" i="16"/>
  <c r="C66" i="16"/>
  <c r="C140" i="16"/>
  <c r="C103" i="16"/>
  <c r="C29" i="16"/>
  <c r="E204" i="16"/>
  <c r="E167" i="16"/>
  <c r="E56" i="16"/>
  <c r="E93" i="16"/>
  <c r="E130" i="16"/>
  <c r="E19" i="16"/>
  <c r="C172" i="16"/>
  <c r="C209" i="16"/>
  <c r="C61" i="16"/>
  <c r="C98" i="16"/>
  <c r="C135" i="16"/>
  <c r="C24" i="16"/>
  <c r="E164" i="16"/>
  <c r="E201" i="16"/>
  <c r="E53" i="16"/>
  <c r="E127" i="16"/>
  <c r="E90" i="16"/>
  <c r="E16" i="16"/>
  <c r="C167" i="16"/>
  <c r="C204" i="16"/>
  <c r="C56" i="16"/>
  <c r="C130" i="16"/>
  <c r="C93" i="16"/>
  <c r="C19" i="16"/>
  <c r="C176" i="16"/>
  <c r="C213" i="16"/>
  <c r="C65" i="16"/>
  <c r="C102" i="16"/>
  <c r="C139" i="16"/>
  <c r="C28" i="16"/>
  <c r="E180" i="16"/>
  <c r="E217" i="16"/>
  <c r="E69" i="16"/>
  <c r="E143" i="16"/>
  <c r="E106" i="16"/>
  <c r="E32" i="16"/>
  <c r="E200" i="16"/>
  <c r="E163" i="16"/>
  <c r="E52" i="16"/>
  <c r="E89" i="16"/>
  <c r="E126" i="16"/>
  <c r="E15" i="16"/>
  <c r="C166" i="16"/>
  <c r="C203" i="16"/>
  <c r="C55" i="16"/>
  <c r="C92" i="16"/>
  <c r="C129" i="16"/>
  <c r="C18" i="16"/>
  <c r="E214" i="16"/>
  <c r="E177" i="16"/>
  <c r="E66" i="16"/>
  <c r="E103" i="16"/>
  <c r="E140" i="16"/>
  <c r="E29" i="16"/>
  <c r="C179" i="16"/>
  <c r="C216" i="16"/>
  <c r="C68" i="16"/>
  <c r="C142" i="16"/>
  <c r="C105" i="16"/>
  <c r="C31" i="16"/>
  <c r="E208" i="16"/>
  <c r="E171" i="16"/>
  <c r="E60" i="16"/>
  <c r="E97" i="16"/>
  <c r="E134" i="16"/>
  <c r="E23" i="16"/>
  <c r="F224" i="16"/>
  <c r="F187" i="16"/>
  <c r="F150" i="16"/>
  <c r="F113" i="16"/>
  <c r="F76" i="16"/>
  <c r="F39" i="16"/>
  <c r="F204" i="16"/>
  <c r="F167" i="16"/>
  <c r="F130" i="16"/>
  <c r="F93" i="16"/>
  <c r="F56" i="16"/>
  <c r="F19" i="16"/>
  <c r="D209" i="16"/>
  <c r="D172" i="16"/>
  <c r="D98" i="16"/>
  <c r="D135" i="16"/>
  <c r="D61" i="16"/>
  <c r="D24" i="16"/>
  <c r="D210" i="16"/>
  <c r="D173" i="16"/>
  <c r="D99" i="16"/>
  <c r="D136" i="16"/>
  <c r="D62" i="16"/>
  <c r="D25" i="16"/>
  <c r="F223" i="16"/>
  <c r="F186" i="16"/>
  <c r="F149" i="16"/>
  <c r="F112" i="16"/>
  <c r="F75" i="16"/>
  <c r="F38" i="16"/>
  <c r="F200" i="16"/>
  <c r="F163" i="16"/>
  <c r="F126" i="16"/>
  <c r="F89" i="16"/>
  <c r="F52" i="16"/>
  <c r="F15" i="16"/>
  <c r="D221" i="16"/>
  <c r="D184" i="16"/>
  <c r="D110" i="16"/>
  <c r="D147" i="16"/>
  <c r="D73" i="16"/>
  <c r="D36" i="16"/>
  <c r="D220" i="16"/>
  <c r="D183" i="16"/>
  <c r="D109" i="16"/>
  <c r="D146" i="16"/>
  <c r="D72" i="16"/>
  <c r="D35" i="16"/>
  <c r="D214" i="16"/>
  <c r="D177" i="16"/>
  <c r="D103" i="16"/>
  <c r="D140" i="16"/>
  <c r="D66" i="16"/>
  <c r="D29" i="16"/>
  <c r="D213" i="16"/>
  <c r="D176" i="16"/>
  <c r="D102" i="16"/>
  <c r="D139" i="16"/>
  <c r="D65" i="16"/>
  <c r="D28" i="16"/>
  <c r="D198" i="16"/>
  <c r="D161" i="16"/>
  <c r="D87" i="16"/>
  <c r="D124" i="16"/>
  <c r="D50" i="16"/>
  <c r="D13" i="16"/>
  <c r="E213" i="16"/>
  <c r="E176" i="16"/>
  <c r="E65" i="16"/>
  <c r="E139" i="16"/>
  <c r="E102" i="16"/>
  <c r="E28" i="16"/>
  <c r="E219" i="16"/>
  <c r="E182" i="16"/>
  <c r="E71" i="16"/>
  <c r="E108" i="16"/>
  <c r="E145" i="16"/>
  <c r="E34" i="16"/>
  <c r="E210" i="16"/>
  <c r="E173" i="16"/>
  <c r="E62" i="16"/>
  <c r="E99" i="16"/>
  <c r="E136" i="16"/>
  <c r="E25" i="16"/>
  <c r="C173" i="16"/>
  <c r="C210" i="16"/>
  <c r="C62" i="16"/>
  <c r="C136" i="16"/>
  <c r="C99" i="16"/>
  <c r="C25" i="16"/>
  <c r="E178" i="16"/>
  <c r="E215" i="16"/>
  <c r="E67" i="16"/>
  <c r="E141" i="16"/>
  <c r="E104" i="16"/>
  <c r="E30" i="16"/>
  <c r="F213" i="16"/>
  <c r="F176" i="16"/>
  <c r="F139" i="16"/>
  <c r="F102" i="16"/>
  <c r="F65" i="16"/>
  <c r="F28" i="16"/>
  <c r="F211" i="16"/>
  <c r="F174" i="16"/>
  <c r="F137" i="16"/>
  <c r="F100" i="16"/>
  <c r="F63" i="16"/>
  <c r="F26" i="16"/>
  <c r="D215" i="16"/>
  <c r="D178" i="16"/>
  <c r="D104" i="16"/>
  <c r="D141" i="16"/>
  <c r="D67" i="16"/>
  <c r="D30" i="16"/>
  <c r="F210" i="16"/>
  <c r="F173" i="16"/>
  <c r="F136" i="16"/>
  <c r="F99" i="16"/>
  <c r="F62" i="16"/>
  <c r="F25" i="16"/>
  <c r="F215" i="16"/>
  <c r="F178" i="16"/>
  <c r="F141" i="16"/>
  <c r="F104" i="16"/>
  <c r="F67" i="16"/>
  <c r="F30" i="16"/>
  <c r="D203" i="16"/>
  <c r="D166" i="16"/>
  <c r="D92" i="16"/>
  <c r="D129" i="16"/>
  <c r="D55" i="16"/>
  <c r="D18" i="16"/>
  <c r="D222" i="16"/>
  <c r="D185" i="16"/>
  <c r="D111" i="16"/>
  <c r="D148" i="16"/>
  <c r="D74" i="16"/>
  <c r="D37" i="16"/>
  <c r="F220" i="16"/>
  <c r="F183" i="16"/>
  <c r="F146" i="16"/>
  <c r="F109" i="16"/>
  <c r="F72" i="16"/>
  <c r="F35" i="16"/>
  <c r="H99" i="17"/>
  <c r="I8" i="17"/>
  <c r="J8" i="17"/>
  <c r="J9" i="17"/>
  <c r="G44" i="17"/>
  <c r="G81" i="17" s="1"/>
  <c r="G118" i="17" s="1"/>
  <c r="G155" i="17" s="1"/>
  <c r="G192" i="17" s="1"/>
  <c r="G229" i="17" s="1"/>
  <c r="I7" i="17"/>
  <c r="I9" i="17"/>
  <c r="J7" i="17"/>
  <c r="C171" i="7"/>
  <c r="C118" i="17" s="1"/>
  <c r="F156" i="17"/>
  <c r="E156" i="17"/>
  <c r="F157" i="17"/>
  <c r="F155" i="17"/>
  <c r="E155" i="17"/>
  <c r="E157" i="17"/>
  <c r="G82" i="16"/>
  <c r="O82" i="16" s="1"/>
  <c r="G156" i="16"/>
  <c r="O156" i="16" s="1"/>
  <c r="H45" i="16"/>
  <c r="P45" i="16" s="1"/>
  <c r="H119" i="16"/>
  <c r="P119" i="16" s="1"/>
  <c r="H193" i="16"/>
  <c r="P193" i="16" s="1"/>
  <c r="G45" i="16"/>
  <c r="O45" i="16" s="1"/>
  <c r="G119" i="16"/>
  <c r="O119" i="16" s="1"/>
  <c r="G193" i="16"/>
  <c r="O193" i="16" s="1"/>
  <c r="H82" i="16"/>
  <c r="P82" i="16" s="1"/>
  <c r="H156" i="16"/>
  <c r="P156" i="16" s="1"/>
  <c r="I239" i="17" l="1"/>
  <c r="G17" i="16"/>
  <c r="O17" i="16" s="1"/>
  <c r="G21" i="16"/>
  <c r="O21" i="16" s="1"/>
  <c r="G58" i="16"/>
  <c r="O58" i="16" s="1"/>
  <c r="G205" i="16"/>
  <c r="O205" i="16" s="1"/>
  <c r="I259" i="17"/>
  <c r="J239" i="17"/>
  <c r="G132" i="16"/>
  <c r="O132" i="16" s="1"/>
  <c r="J240" i="17"/>
  <c r="G169" i="16"/>
  <c r="O169" i="16" s="1"/>
  <c r="G94" i="16"/>
  <c r="O94" i="16" s="1"/>
  <c r="I240" i="17"/>
  <c r="G84" i="16"/>
  <c r="O84" i="16" s="1"/>
  <c r="H84" i="16"/>
  <c r="P84" i="16" s="1"/>
  <c r="G158" i="16"/>
  <c r="O158" i="16" s="1"/>
  <c r="H121" i="16"/>
  <c r="P121" i="16" s="1"/>
  <c r="G47" i="16"/>
  <c r="O47" i="16" s="1"/>
  <c r="G121" i="16"/>
  <c r="O121" i="16" s="1"/>
  <c r="H158" i="16"/>
  <c r="P158" i="16" s="1"/>
  <c r="H47" i="16"/>
  <c r="P47" i="16" s="1"/>
  <c r="G10" i="16"/>
  <c r="O10" i="16" s="1"/>
  <c r="G195" i="16"/>
  <c r="O195" i="16" s="1"/>
  <c r="H10" i="16"/>
  <c r="P10" i="16" s="1"/>
  <c r="H195" i="16"/>
  <c r="P195" i="16" s="1"/>
  <c r="G86" i="16"/>
  <c r="O86" i="16" s="1"/>
  <c r="H20" i="16"/>
  <c r="P20" i="16" s="1"/>
  <c r="H131" i="16"/>
  <c r="P131" i="16" s="1"/>
  <c r="G57" i="16"/>
  <c r="O57" i="16" s="1"/>
  <c r="H168" i="16"/>
  <c r="P168" i="16" s="1"/>
  <c r="I120" i="17"/>
  <c r="H81" i="17"/>
  <c r="J81" i="17" s="1"/>
  <c r="G168" i="16"/>
  <c r="O168" i="16" s="1"/>
  <c r="I83" i="17"/>
  <c r="G20" i="16"/>
  <c r="O20" i="16" s="1"/>
  <c r="G131" i="16"/>
  <c r="O131" i="16" s="1"/>
  <c r="I244" i="17"/>
  <c r="J59" i="17"/>
  <c r="I59" i="17"/>
  <c r="H205" i="16"/>
  <c r="P205" i="16" s="1"/>
  <c r="I46" i="17"/>
  <c r="H57" i="16"/>
  <c r="P57" i="16" s="1"/>
  <c r="H94" i="16"/>
  <c r="P94" i="16" s="1"/>
  <c r="J46" i="17"/>
  <c r="H11" i="16"/>
  <c r="P11" i="16" s="1"/>
  <c r="H196" i="16"/>
  <c r="P196" i="16" s="1"/>
  <c r="H86" i="16"/>
  <c r="P86" i="16" s="1"/>
  <c r="G12" i="16"/>
  <c r="O12" i="16" s="1"/>
  <c r="G48" i="16"/>
  <c r="O48" i="16" s="1"/>
  <c r="G49" i="16"/>
  <c r="O49" i="16" s="1"/>
  <c r="G85" i="16"/>
  <c r="O85" i="16" s="1"/>
  <c r="H159" i="16"/>
  <c r="P159" i="16" s="1"/>
  <c r="H122" i="16"/>
  <c r="P122" i="16" s="1"/>
  <c r="H123" i="16"/>
  <c r="P123" i="16" s="1"/>
  <c r="H160" i="16"/>
  <c r="P160" i="16" s="1"/>
  <c r="H197" i="16"/>
  <c r="P197" i="16" s="1"/>
  <c r="G123" i="16"/>
  <c r="O123" i="16" s="1"/>
  <c r="H48" i="16"/>
  <c r="P48" i="16" s="1"/>
  <c r="G159" i="16"/>
  <c r="O159" i="16" s="1"/>
  <c r="G122" i="16"/>
  <c r="O122" i="16" s="1"/>
  <c r="H12" i="16"/>
  <c r="P12" i="16" s="1"/>
  <c r="G197" i="16"/>
  <c r="O197" i="16" s="1"/>
  <c r="H85" i="16"/>
  <c r="P85" i="16" s="1"/>
  <c r="G11" i="16"/>
  <c r="O11" i="16" s="1"/>
  <c r="G196" i="16"/>
  <c r="O196" i="16" s="1"/>
  <c r="H49" i="16"/>
  <c r="P49" i="16" s="1"/>
  <c r="G25" i="16"/>
  <c r="O25" i="16" s="1"/>
  <c r="C45" i="17"/>
  <c r="I45" i="17" s="1"/>
  <c r="D45" i="17"/>
  <c r="J45" i="17" s="1"/>
  <c r="G19" i="16"/>
  <c r="O19" i="16" s="1"/>
  <c r="G33" i="16"/>
  <c r="O33" i="16" s="1"/>
  <c r="G144" i="16"/>
  <c r="O144" i="16" s="1"/>
  <c r="H33" i="16"/>
  <c r="P33" i="16" s="1"/>
  <c r="H218" i="16"/>
  <c r="P218" i="16" s="1"/>
  <c r="D135" i="7"/>
  <c r="G181" i="16"/>
  <c r="O181" i="16" s="1"/>
  <c r="G218" i="16"/>
  <c r="O218" i="16" s="1"/>
  <c r="H70" i="16"/>
  <c r="P70" i="16" s="1"/>
  <c r="G70" i="16"/>
  <c r="O70" i="16" s="1"/>
  <c r="H107" i="16"/>
  <c r="P107" i="16" s="1"/>
  <c r="G107" i="16"/>
  <c r="O107" i="16" s="1"/>
  <c r="H181" i="16"/>
  <c r="P181" i="16" s="1"/>
  <c r="H144" i="16"/>
  <c r="P144" i="16" s="1"/>
  <c r="H31" i="16"/>
  <c r="P31" i="16" s="1"/>
  <c r="G206" i="16"/>
  <c r="O206" i="16" s="1"/>
  <c r="H58" i="16"/>
  <c r="P58" i="16" s="1"/>
  <c r="G95" i="16"/>
  <c r="O95" i="16" s="1"/>
  <c r="H14" i="16"/>
  <c r="P14" i="16" s="1"/>
  <c r="H162" i="16"/>
  <c r="P162" i="16" s="1"/>
  <c r="G39" i="16"/>
  <c r="O39" i="16" s="1"/>
  <c r="H88" i="16"/>
  <c r="P88" i="16" s="1"/>
  <c r="H199" i="16"/>
  <c r="P199" i="16" s="1"/>
  <c r="G199" i="16"/>
  <c r="O199" i="16" s="1"/>
  <c r="I73" i="17"/>
  <c r="I50" i="17"/>
  <c r="I71" i="17"/>
  <c r="I212" i="17"/>
  <c r="I215" i="17"/>
  <c r="I19" i="17"/>
  <c r="I29" i="17"/>
  <c r="J60" i="17"/>
  <c r="J75" i="17"/>
  <c r="J15" i="17"/>
  <c r="J22" i="17"/>
  <c r="J19" i="17"/>
  <c r="J24" i="17"/>
  <c r="I64" i="17"/>
  <c r="I61" i="17"/>
  <c r="I67" i="17"/>
  <c r="I65" i="17"/>
  <c r="I54" i="17"/>
  <c r="I213" i="17"/>
  <c r="I219" i="17"/>
  <c r="I210" i="17"/>
  <c r="I221" i="17"/>
  <c r="I223" i="17"/>
  <c r="I198" i="17"/>
  <c r="J165" i="17"/>
  <c r="J175" i="17"/>
  <c r="J167" i="17"/>
  <c r="J183" i="17"/>
  <c r="J174" i="17"/>
  <c r="I36" i="17"/>
  <c r="I27" i="17"/>
  <c r="I23" i="17"/>
  <c r="I25" i="17"/>
  <c r="J52" i="17"/>
  <c r="J76" i="17"/>
  <c r="J61" i="17"/>
  <c r="J67" i="17"/>
  <c r="J28" i="17"/>
  <c r="J13" i="17"/>
  <c r="J29" i="17"/>
  <c r="J23" i="17"/>
  <c r="J35" i="17"/>
  <c r="J27" i="17"/>
  <c r="J30" i="17"/>
  <c r="J202" i="17"/>
  <c r="J212" i="17"/>
  <c r="J204" i="17"/>
  <c r="J220" i="17"/>
  <c r="J211" i="17"/>
  <c r="I130" i="17"/>
  <c r="I127" i="17"/>
  <c r="I129" i="17"/>
  <c r="I140" i="17"/>
  <c r="I134" i="17"/>
  <c r="J91" i="17"/>
  <c r="J101" i="17"/>
  <c r="J93" i="17"/>
  <c r="J109" i="17"/>
  <c r="J100" i="17"/>
  <c r="J130" i="17"/>
  <c r="J127" i="17"/>
  <c r="J129" i="17"/>
  <c r="J145" i="17"/>
  <c r="I100" i="17"/>
  <c r="I104" i="17"/>
  <c r="I92" i="17"/>
  <c r="I101" i="17"/>
  <c r="I93" i="17"/>
  <c r="I103" i="17"/>
  <c r="I97" i="17"/>
  <c r="I165" i="17"/>
  <c r="I184" i="17"/>
  <c r="I187" i="17"/>
  <c r="I174" i="17"/>
  <c r="I182" i="17"/>
  <c r="I167" i="17"/>
  <c r="G51" i="16"/>
  <c r="O51" i="16" s="1"/>
  <c r="I76" i="17"/>
  <c r="I63" i="17"/>
  <c r="I72" i="17"/>
  <c r="I60" i="17"/>
  <c r="I66" i="17"/>
  <c r="I214" i="17"/>
  <c r="I208" i="17"/>
  <c r="I220" i="17"/>
  <c r="I211" i="17"/>
  <c r="J187" i="17"/>
  <c r="J163" i="17"/>
  <c r="J178" i="17"/>
  <c r="J172" i="17"/>
  <c r="I15" i="17"/>
  <c r="I30" i="17"/>
  <c r="I37" i="17"/>
  <c r="I17" i="17"/>
  <c r="I22" i="17"/>
  <c r="I26" i="17"/>
  <c r="J56" i="17"/>
  <c r="J64" i="17"/>
  <c r="J54" i="17"/>
  <c r="J63" i="17"/>
  <c r="J72" i="17"/>
  <c r="J25" i="17"/>
  <c r="J18" i="17"/>
  <c r="J201" i="17"/>
  <c r="J224" i="17"/>
  <c r="J200" i="17"/>
  <c r="J215" i="17"/>
  <c r="J209" i="17"/>
  <c r="I126" i="17"/>
  <c r="I149" i="17"/>
  <c r="I128" i="17"/>
  <c r="J90" i="17"/>
  <c r="J113" i="17"/>
  <c r="J89" i="17"/>
  <c r="J104" i="17"/>
  <c r="J98" i="17"/>
  <c r="J150" i="17"/>
  <c r="J149" i="17"/>
  <c r="J140" i="17"/>
  <c r="J134" i="17"/>
  <c r="I112" i="17"/>
  <c r="I98" i="17"/>
  <c r="I113" i="17"/>
  <c r="I89" i="17"/>
  <c r="I91" i="17"/>
  <c r="I102" i="17"/>
  <c r="I172" i="17"/>
  <c r="I183" i="17"/>
  <c r="I171" i="17"/>
  <c r="I175" i="17"/>
  <c r="I163" i="17"/>
  <c r="I176" i="17"/>
  <c r="H21" i="16"/>
  <c r="P21" i="16" s="1"/>
  <c r="H169" i="16"/>
  <c r="P169" i="16" s="1"/>
  <c r="H51" i="16"/>
  <c r="P51" i="16" s="1"/>
  <c r="H206" i="16"/>
  <c r="P206" i="16" s="1"/>
  <c r="H132" i="16"/>
  <c r="P132" i="16" s="1"/>
  <c r="G88" i="16"/>
  <c r="O88" i="16" s="1"/>
  <c r="I75" i="17"/>
  <c r="I62" i="17"/>
  <c r="I202" i="17"/>
  <c r="I204" i="17"/>
  <c r="I209" i="17"/>
  <c r="J182" i="17"/>
  <c r="J184" i="17"/>
  <c r="J166" i="17"/>
  <c r="I13" i="17"/>
  <c r="I34" i="17"/>
  <c r="I39" i="17"/>
  <c r="I16" i="17"/>
  <c r="I18" i="17"/>
  <c r="J66" i="17"/>
  <c r="J26" i="17"/>
  <c r="J16" i="17"/>
  <c r="J34" i="17"/>
  <c r="J213" i="17"/>
  <c r="J219" i="17"/>
  <c r="J221" i="17"/>
  <c r="J203" i="17"/>
  <c r="I147" i="17"/>
  <c r="I146" i="17"/>
  <c r="I137" i="17"/>
  <c r="I148" i="17"/>
  <c r="I124" i="17"/>
  <c r="J102" i="17"/>
  <c r="J108" i="17"/>
  <c r="J110" i="17"/>
  <c r="J92" i="17"/>
  <c r="J146" i="17"/>
  <c r="J137" i="17"/>
  <c r="J128" i="17"/>
  <c r="I110" i="17"/>
  <c r="I111" i="17"/>
  <c r="I90" i="17"/>
  <c r="I185" i="17"/>
  <c r="I177" i="17"/>
  <c r="I161" i="17"/>
  <c r="I164" i="17"/>
  <c r="G125" i="16"/>
  <c r="O125" i="16" s="1"/>
  <c r="I56" i="17"/>
  <c r="I52" i="17"/>
  <c r="I55" i="17"/>
  <c r="I53" i="17"/>
  <c r="I74" i="17"/>
  <c r="I201" i="17"/>
  <c r="I222" i="17"/>
  <c r="I224" i="17"/>
  <c r="I200" i="17"/>
  <c r="I203" i="17"/>
  <c r="J176" i="17"/>
  <c r="J164" i="17"/>
  <c r="J177" i="17"/>
  <c r="J171" i="17"/>
  <c r="J186" i="17"/>
  <c r="I38" i="17"/>
  <c r="I24" i="17"/>
  <c r="I28" i="17"/>
  <c r="I35" i="17"/>
  <c r="J53" i="17"/>
  <c r="J65" i="17"/>
  <c r="J73" i="17"/>
  <c r="J71" i="17"/>
  <c r="J55" i="17"/>
  <c r="J37" i="17"/>
  <c r="J39" i="17"/>
  <c r="J17" i="17"/>
  <c r="J36" i="17"/>
  <c r="J38" i="17"/>
  <c r="J214" i="17"/>
  <c r="J208" i="17"/>
  <c r="J223" i="17"/>
  <c r="I138" i="17"/>
  <c r="I150" i="17"/>
  <c r="I139" i="17"/>
  <c r="I133" i="17"/>
  <c r="I141" i="17"/>
  <c r="I135" i="17"/>
  <c r="I145" i="17"/>
  <c r="I136" i="17"/>
  <c r="J103" i="17"/>
  <c r="J97" i="17"/>
  <c r="J112" i="17"/>
  <c r="J147" i="17"/>
  <c r="J138" i="17"/>
  <c r="J126" i="17"/>
  <c r="J139" i="17"/>
  <c r="J141" i="17"/>
  <c r="J135" i="17"/>
  <c r="I109" i="17"/>
  <c r="I87" i="17"/>
  <c r="I108" i="17"/>
  <c r="I99" i="17"/>
  <c r="I178" i="17"/>
  <c r="I166" i="17"/>
  <c r="I186" i="17"/>
  <c r="I173" i="17"/>
  <c r="H95" i="16"/>
  <c r="P95" i="16" s="1"/>
  <c r="H125" i="16"/>
  <c r="P125" i="16" s="1"/>
  <c r="G14" i="16"/>
  <c r="O14" i="16" s="1"/>
  <c r="G162" i="16"/>
  <c r="O162" i="16" s="1"/>
  <c r="I207" i="17"/>
  <c r="I96" i="17"/>
  <c r="I170" i="17"/>
  <c r="G13" i="16"/>
  <c r="O13" i="16" s="1"/>
  <c r="G65" i="16"/>
  <c r="O65" i="16" s="1"/>
  <c r="G26" i="16"/>
  <c r="O26" i="16" s="1"/>
  <c r="C135" i="7"/>
  <c r="H101" i="16"/>
  <c r="P101" i="16" s="1"/>
  <c r="D171" i="7"/>
  <c r="D118" i="17" s="1"/>
  <c r="J31" i="17"/>
  <c r="J179" i="17"/>
  <c r="G24" i="16"/>
  <c r="O24" i="16" s="1"/>
  <c r="H22" i="16"/>
  <c r="P22" i="16" s="1"/>
  <c r="H32" i="16"/>
  <c r="H13" i="16"/>
  <c r="P13" i="16" s="1"/>
  <c r="G31" i="16"/>
  <c r="O31" i="16" s="1"/>
  <c r="G18" i="16"/>
  <c r="O18" i="16" s="1"/>
  <c r="H27" i="16"/>
  <c r="P27" i="16" s="1"/>
  <c r="H34" i="16"/>
  <c r="P34" i="16" s="1"/>
  <c r="H38" i="16"/>
  <c r="P38" i="16" s="1"/>
  <c r="J68" i="17"/>
  <c r="H18" i="16"/>
  <c r="P18" i="16" s="1"/>
  <c r="H30" i="16"/>
  <c r="P30" i="16" s="1"/>
  <c r="H37" i="16"/>
  <c r="P37" i="16" s="1"/>
  <c r="H65" i="16"/>
  <c r="P65" i="16" s="1"/>
  <c r="I216" i="17"/>
  <c r="H23" i="16"/>
  <c r="P23" i="16" s="1"/>
  <c r="I68" i="17"/>
  <c r="I142" i="17"/>
  <c r="J142" i="17"/>
  <c r="H29" i="16"/>
  <c r="P29" i="16" s="1"/>
  <c r="H36" i="16"/>
  <c r="P36" i="16" s="1"/>
  <c r="H24" i="16"/>
  <c r="P24" i="16" s="1"/>
  <c r="H17" i="16"/>
  <c r="P17" i="16" s="1"/>
  <c r="G15" i="16"/>
  <c r="O15" i="16" s="1"/>
  <c r="G37" i="16"/>
  <c r="O37" i="16" s="1"/>
  <c r="G32" i="16"/>
  <c r="G22" i="16"/>
  <c r="O22" i="16" s="1"/>
  <c r="G27" i="16"/>
  <c r="O27" i="16" s="1"/>
  <c r="G23" i="16"/>
  <c r="O23" i="16" s="1"/>
  <c r="G36" i="16"/>
  <c r="O36" i="16" s="1"/>
  <c r="G38" i="16"/>
  <c r="O38" i="16" s="1"/>
  <c r="F32" i="17"/>
  <c r="F69" i="17" s="1"/>
  <c r="J217" i="16"/>
  <c r="J180" i="16"/>
  <c r="J143" i="16"/>
  <c r="J106" i="16"/>
  <c r="J69" i="16"/>
  <c r="J32" i="16"/>
  <c r="H26" i="16"/>
  <c r="P26" i="16" s="1"/>
  <c r="I217" i="16"/>
  <c r="E32" i="17"/>
  <c r="E69" i="17" s="1"/>
  <c r="I180" i="16"/>
  <c r="I69" i="16"/>
  <c r="I106" i="16"/>
  <c r="I143" i="16"/>
  <c r="I32" i="16"/>
  <c r="I31" i="17"/>
  <c r="J216" i="17"/>
  <c r="J105" i="17"/>
  <c r="I105" i="17"/>
  <c r="I179" i="17"/>
  <c r="H28" i="16"/>
  <c r="P28" i="16" s="1"/>
  <c r="H35" i="16"/>
  <c r="P35" i="16" s="1"/>
  <c r="H25" i="16"/>
  <c r="P25" i="16" s="1"/>
  <c r="G28" i="16"/>
  <c r="O28" i="16" s="1"/>
  <c r="G29" i="16"/>
  <c r="O29" i="16" s="1"/>
  <c r="H16" i="16"/>
  <c r="P16" i="16" s="1"/>
  <c r="H39" i="16"/>
  <c r="P39" i="16" s="1"/>
  <c r="G34" i="16"/>
  <c r="O34" i="16" s="1"/>
  <c r="G30" i="16"/>
  <c r="O30" i="16" s="1"/>
  <c r="H19" i="16"/>
  <c r="P19" i="16" s="1"/>
  <c r="H15" i="16"/>
  <c r="P15" i="16" s="1"/>
  <c r="G16" i="16"/>
  <c r="O16" i="16" s="1"/>
  <c r="G35" i="16"/>
  <c r="O35" i="16" s="1"/>
  <c r="J50" i="17"/>
  <c r="J99" i="17"/>
  <c r="H136" i="17"/>
  <c r="H173" i="17" s="1"/>
  <c r="H210" i="17" s="1"/>
  <c r="H120" i="17"/>
  <c r="J96" i="17"/>
  <c r="J111" i="17"/>
  <c r="J87" i="17"/>
  <c r="H148" i="17"/>
  <c r="H185" i="17" s="1"/>
  <c r="H222" i="17" s="1"/>
  <c r="J62" i="17"/>
  <c r="J83" i="17"/>
  <c r="J74" i="17"/>
  <c r="H124" i="17"/>
  <c r="H161" i="17" s="1"/>
  <c r="H198" i="17" s="1"/>
  <c r="H133" i="17"/>
  <c r="H170" i="17" s="1"/>
  <c r="H207" i="17" s="1"/>
  <c r="G101" i="16"/>
  <c r="O101" i="16" s="1"/>
  <c r="H138" i="16"/>
  <c r="P138" i="16" s="1"/>
  <c r="G175" i="16"/>
  <c r="O175" i="16" s="1"/>
  <c r="G64" i="16"/>
  <c r="O64" i="16" s="1"/>
  <c r="I44" i="17"/>
  <c r="I81" i="17"/>
  <c r="H212" i="16"/>
  <c r="P212" i="16" s="1"/>
  <c r="G212" i="16"/>
  <c r="O212" i="16" s="1"/>
  <c r="G138" i="16"/>
  <c r="O138" i="16" s="1"/>
  <c r="H175" i="16"/>
  <c r="P175" i="16" s="1"/>
  <c r="H64" i="16"/>
  <c r="P64" i="16" s="1"/>
  <c r="C208" i="7"/>
  <c r="C155" i="17" s="1"/>
  <c r="I118" i="17"/>
  <c r="E194" i="17"/>
  <c r="I157" i="17"/>
  <c r="E192" i="17"/>
  <c r="E229" i="17" s="1"/>
  <c r="F192" i="17"/>
  <c r="F229" i="17" s="1"/>
  <c r="F194" i="17"/>
  <c r="F231" i="17" s="1"/>
  <c r="E193" i="17"/>
  <c r="E230" i="17" s="1"/>
  <c r="F193" i="17"/>
  <c r="F230" i="17" s="1"/>
  <c r="H93" i="16"/>
  <c r="P93" i="16" s="1"/>
  <c r="H167" i="16"/>
  <c r="P167" i="16" s="1"/>
  <c r="H204" i="16"/>
  <c r="P204" i="16" s="1"/>
  <c r="H102" i="16"/>
  <c r="P102" i="16" s="1"/>
  <c r="H176" i="16"/>
  <c r="P176" i="16" s="1"/>
  <c r="H213" i="16"/>
  <c r="P213" i="16" s="1"/>
  <c r="H90" i="16"/>
  <c r="P90" i="16" s="1"/>
  <c r="H164" i="16"/>
  <c r="P164" i="16" s="1"/>
  <c r="H201" i="16"/>
  <c r="P201" i="16" s="1"/>
  <c r="H59" i="16"/>
  <c r="P59" i="16" s="1"/>
  <c r="H133" i="16"/>
  <c r="P133" i="16" s="1"/>
  <c r="H66" i="16"/>
  <c r="P66" i="16" s="1"/>
  <c r="H140" i="16"/>
  <c r="P140" i="16" s="1"/>
  <c r="H108" i="16"/>
  <c r="P108" i="16" s="1"/>
  <c r="H182" i="16"/>
  <c r="P182" i="16" s="1"/>
  <c r="H219" i="16"/>
  <c r="P219" i="16" s="1"/>
  <c r="H74" i="16"/>
  <c r="P74" i="16" s="1"/>
  <c r="H148" i="16"/>
  <c r="P148" i="16" s="1"/>
  <c r="G91" i="16"/>
  <c r="O91" i="16" s="1"/>
  <c r="G165" i="16"/>
  <c r="O165" i="16" s="1"/>
  <c r="G60" i="16"/>
  <c r="O60" i="16" s="1"/>
  <c r="G134" i="16"/>
  <c r="O134" i="16" s="1"/>
  <c r="G208" i="16"/>
  <c r="O208" i="16" s="1"/>
  <c r="G99" i="16"/>
  <c r="O99" i="16" s="1"/>
  <c r="G173" i="16"/>
  <c r="O173" i="16" s="1"/>
  <c r="G67" i="16"/>
  <c r="O67" i="16" s="1"/>
  <c r="G141" i="16"/>
  <c r="O141" i="16" s="1"/>
  <c r="G215" i="16"/>
  <c r="O215" i="16" s="1"/>
  <c r="G109" i="16"/>
  <c r="O109" i="16" s="1"/>
  <c r="G183" i="16"/>
  <c r="O183" i="16" s="1"/>
  <c r="G75" i="16"/>
  <c r="O75" i="16" s="1"/>
  <c r="G149" i="16"/>
  <c r="O149" i="16" s="1"/>
  <c r="G223" i="16"/>
  <c r="O223" i="16" s="1"/>
  <c r="H97" i="16"/>
  <c r="P97" i="16" s="1"/>
  <c r="H171" i="16"/>
  <c r="P171" i="16" s="1"/>
  <c r="H208" i="16"/>
  <c r="P208" i="16" s="1"/>
  <c r="H104" i="16"/>
  <c r="P104" i="16" s="1"/>
  <c r="H178" i="16"/>
  <c r="P178" i="16" s="1"/>
  <c r="H215" i="16"/>
  <c r="P215" i="16" s="1"/>
  <c r="H75" i="16"/>
  <c r="P75" i="16" s="1"/>
  <c r="H149" i="16"/>
  <c r="P149" i="16" s="1"/>
  <c r="G87" i="16"/>
  <c r="O87" i="16" s="1"/>
  <c r="G161" i="16"/>
  <c r="O161" i="16" s="1"/>
  <c r="G55" i="16"/>
  <c r="O55" i="16" s="1"/>
  <c r="G129" i="16"/>
  <c r="O129" i="16" s="1"/>
  <c r="G203" i="16"/>
  <c r="O203" i="16" s="1"/>
  <c r="G98" i="16"/>
  <c r="O98" i="16" s="1"/>
  <c r="G172" i="16"/>
  <c r="O172" i="16" s="1"/>
  <c r="G63" i="16"/>
  <c r="O63" i="16" s="1"/>
  <c r="G137" i="16"/>
  <c r="O137" i="16" s="1"/>
  <c r="G211" i="16"/>
  <c r="O211" i="16" s="1"/>
  <c r="G105" i="16"/>
  <c r="O105" i="16" s="1"/>
  <c r="G179" i="16"/>
  <c r="O179" i="16" s="1"/>
  <c r="G73" i="16"/>
  <c r="O73" i="16" s="1"/>
  <c r="G147" i="16"/>
  <c r="O147" i="16" s="1"/>
  <c r="G221" i="16"/>
  <c r="O221" i="16" s="1"/>
  <c r="G113" i="16"/>
  <c r="O113" i="16" s="1"/>
  <c r="G187" i="16"/>
  <c r="O187" i="16" s="1"/>
  <c r="H52" i="16"/>
  <c r="P52" i="16" s="1"/>
  <c r="H126" i="16"/>
  <c r="P126" i="16" s="1"/>
  <c r="H106" i="16"/>
  <c r="H180" i="16"/>
  <c r="H217" i="16"/>
  <c r="H50" i="16"/>
  <c r="P50" i="16" s="1"/>
  <c r="H124" i="16"/>
  <c r="P124" i="16" s="1"/>
  <c r="H198" i="16"/>
  <c r="P198" i="16" s="1"/>
  <c r="H92" i="16"/>
  <c r="P92" i="16" s="1"/>
  <c r="H166" i="16"/>
  <c r="P166" i="16" s="1"/>
  <c r="H203" i="16"/>
  <c r="P203" i="16" s="1"/>
  <c r="H61" i="16"/>
  <c r="P61" i="16" s="1"/>
  <c r="H135" i="16"/>
  <c r="P135" i="16" s="1"/>
  <c r="H100" i="16"/>
  <c r="P100" i="16" s="1"/>
  <c r="H174" i="16"/>
  <c r="P174" i="16" s="1"/>
  <c r="H211" i="16"/>
  <c r="P211" i="16" s="1"/>
  <c r="H68" i="16"/>
  <c r="P68" i="16" s="1"/>
  <c r="H142" i="16"/>
  <c r="P142" i="16" s="1"/>
  <c r="H110" i="16"/>
  <c r="P110" i="16" s="1"/>
  <c r="H184" i="16"/>
  <c r="P184" i="16" s="1"/>
  <c r="H221" i="16"/>
  <c r="P221" i="16" s="1"/>
  <c r="H76" i="16"/>
  <c r="P76" i="16" s="1"/>
  <c r="H150" i="16"/>
  <c r="P150" i="16" s="1"/>
  <c r="H224" i="16"/>
  <c r="P224" i="16" s="1"/>
  <c r="G89" i="16"/>
  <c r="O89" i="16" s="1"/>
  <c r="G163" i="16"/>
  <c r="O163" i="16" s="1"/>
  <c r="G56" i="16"/>
  <c r="O56" i="16" s="1"/>
  <c r="G130" i="16"/>
  <c r="O130" i="16" s="1"/>
  <c r="G204" i="16"/>
  <c r="O204" i="16" s="1"/>
  <c r="G139" i="16"/>
  <c r="O139" i="16" s="1"/>
  <c r="G213" i="16"/>
  <c r="O213" i="16" s="1"/>
  <c r="G106" i="16"/>
  <c r="G180" i="16"/>
  <c r="H54" i="16"/>
  <c r="P54" i="16" s="1"/>
  <c r="H128" i="16"/>
  <c r="P128" i="16" s="1"/>
  <c r="H99" i="16"/>
  <c r="P99" i="16" s="1"/>
  <c r="H173" i="16"/>
  <c r="P173" i="16" s="1"/>
  <c r="H210" i="16"/>
  <c r="P210" i="16" s="1"/>
  <c r="H109" i="16"/>
  <c r="P109" i="16" s="1"/>
  <c r="H183" i="16"/>
  <c r="P183" i="16" s="1"/>
  <c r="H220" i="16"/>
  <c r="P220" i="16" s="1"/>
  <c r="G90" i="16"/>
  <c r="O90" i="16" s="1"/>
  <c r="G164" i="16"/>
  <c r="O164" i="16" s="1"/>
  <c r="G59" i="16"/>
  <c r="O59" i="16" s="1"/>
  <c r="G133" i="16"/>
  <c r="O133" i="16" s="1"/>
  <c r="G207" i="16"/>
  <c r="O207" i="16" s="1"/>
  <c r="G66" i="16"/>
  <c r="O66" i="16" s="1"/>
  <c r="G140" i="16"/>
  <c r="O140" i="16" s="1"/>
  <c r="G214" i="16"/>
  <c r="O214" i="16" s="1"/>
  <c r="G108" i="16"/>
  <c r="O108" i="16" s="1"/>
  <c r="G182" i="16"/>
  <c r="O182" i="16" s="1"/>
  <c r="G74" i="16"/>
  <c r="O74" i="16" s="1"/>
  <c r="G148" i="16"/>
  <c r="O148" i="16" s="1"/>
  <c r="G222" i="16"/>
  <c r="O222" i="16" s="1"/>
  <c r="H56" i="16"/>
  <c r="P56" i="16" s="1"/>
  <c r="H130" i="16"/>
  <c r="P130" i="16" s="1"/>
  <c r="H139" i="16"/>
  <c r="P139" i="16" s="1"/>
  <c r="H53" i="16"/>
  <c r="P53" i="16" s="1"/>
  <c r="H127" i="16"/>
  <c r="P127" i="16" s="1"/>
  <c r="H96" i="16"/>
  <c r="P96" i="16" s="1"/>
  <c r="H170" i="16"/>
  <c r="P170" i="16" s="1"/>
  <c r="H207" i="16"/>
  <c r="P207" i="16" s="1"/>
  <c r="H103" i="16"/>
  <c r="P103" i="16" s="1"/>
  <c r="H177" i="16"/>
  <c r="P177" i="16" s="1"/>
  <c r="H214" i="16"/>
  <c r="P214" i="16" s="1"/>
  <c r="H71" i="16"/>
  <c r="P71" i="16" s="1"/>
  <c r="H145" i="16"/>
  <c r="P145" i="16" s="1"/>
  <c r="H111" i="16"/>
  <c r="P111" i="16" s="1"/>
  <c r="H185" i="16"/>
  <c r="P185" i="16" s="1"/>
  <c r="H222" i="16"/>
  <c r="P222" i="16" s="1"/>
  <c r="G54" i="16"/>
  <c r="O54" i="16" s="1"/>
  <c r="G128" i="16"/>
  <c r="O128" i="16" s="1"/>
  <c r="G202" i="16"/>
  <c r="O202" i="16" s="1"/>
  <c r="G97" i="16"/>
  <c r="O97" i="16" s="1"/>
  <c r="G171" i="16"/>
  <c r="O171" i="16" s="1"/>
  <c r="G62" i="16"/>
  <c r="O62" i="16" s="1"/>
  <c r="G136" i="16"/>
  <c r="O136" i="16" s="1"/>
  <c r="G210" i="16"/>
  <c r="O210" i="16" s="1"/>
  <c r="G104" i="16"/>
  <c r="O104" i="16" s="1"/>
  <c r="G178" i="16"/>
  <c r="O178" i="16" s="1"/>
  <c r="G72" i="16"/>
  <c r="O72" i="16" s="1"/>
  <c r="G146" i="16"/>
  <c r="O146" i="16" s="1"/>
  <c r="G220" i="16"/>
  <c r="O220" i="16" s="1"/>
  <c r="G112" i="16"/>
  <c r="O112" i="16" s="1"/>
  <c r="G186" i="16"/>
  <c r="O186" i="16" s="1"/>
  <c r="H60" i="16"/>
  <c r="P60" i="16" s="1"/>
  <c r="H134" i="16"/>
  <c r="P134" i="16" s="1"/>
  <c r="H67" i="16"/>
  <c r="P67" i="16" s="1"/>
  <c r="H141" i="16"/>
  <c r="P141" i="16" s="1"/>
  <c r="H112" i="16"/>
  <c r="P112" i="16" s="1"/>
  <c r="H186" i="16"/>
  <c r="P186" i="16" s="1"/>
  <c r="H223" i="16"/>
  <c r="P223" i="16" s="1"/>
  <c r="G50" i="16"/>
  <c r="O50" i="16" s="1"/>
  <c r="G124" i="16"/>
  <c r="O124" i="16" s="1"/>
  <c r="G198" i="16"/>
  <c r="O198" i="16" s="1"/>
  <c r="G92" i="16"/>
  <c r="O92" i="16" s="1"/>
  <c r="G166" i="16"/>
  <c r="O166" i="16" s="1"/>
  <c r="G61" i="16"/>
  <c r="O61" i="16" s="1"/>
  <c r="G135" i="16"/>
  <c r="O135" i="16" s="1"/>
  <c r="G209" i="16"/>
  <c r="O209" i="16" s="1"/>
  <c r="G100" i="16"/>
  <c r="O100" i="16" s="1"/>
  <c r="G174" i="16"/>
  <c r="O174" i="16" s="1"/>
  <c r="G68" i="16"/>
  <c r="O68" i="16" s="1"/>
  <c r="G142" i="16"/>
  <c r="O142" i="16" s="1"/>
  <c r="G216" i="16"/>
  <c r="O216" i="16" s="1"/>
  <c r="G110" i="16"/>
  <c r="O110" i="16" s="1"/>
  <c r="G184" i="16"/>
  <c r="O184" i="16" s="1"/>
  <c r="G76" i="16"/>
  <c r="O76" i="16" s="1"/>
  <c r="G150" i="16"/>
  <c r="O150" i="16" s="1"/>
  <c r="G224" i="16"/>
  <c r="O224" i="16" s="1"/>
  <c r="H89" i="16"/>
  <c r="P89" i="16" s="1"/>
  <c r="H163" i="16"/>
  <c r="P163" i="16" s="1"/>
  <c r="H200" i="16"/>
  <c r="P200" i="16" s="1"/>
  <c r="H69" i="16"/>
  <c r="H143" i="16"/>
  <c r="H87" i="16"/>
  <c r="P87" i="16" s="1"/>
  <c r="H161" i="16"/>
  <c r="P161" i="16" s="1"/>
  <c r="H55" i="16"/>
  <c r="P55" i="16" s="1"/>
  <c r="H129" i="16"/>
  <c r="P129" i="16" s="1"/>
  <c r="H98" i="16"/>
  <c r="P98" i="16" s="1"/>
  <c r="H172" i="16"/>
  <c r="P172" i="16" s="1"/>
  <c r="H209" i="16"/>
  <c r="P209" i="16" s="1"/>
  <c r="H63" i="16"/>
  <c r="P63" i="16" s="1"/>
  <c r="H137" i="16"/>
  <c r="P137" i="16" s="1"/>
  <c r="H105" i="16"/>
  <c r="P105" i="16" s="1"/>
  <c r="H179" i="16"/>
  <c r="P179" i="16" s="1"/>
  <c r="H216" i="16"/>
  <c r="P216" i="16" s="1"/>
  <c r="H73" i="16"/>
  <c r="P73" i="16" s="1"/>
  <c r="H147" i="16"/>
  <c r="P147" i="16" s="1"/>
  <c r="H113" i="16"/>
  <c r="P113" i="16" s="1"/>
  <c r="H187" i="16"/>
  <c r="P187" i="16" s="1"/>
  <c r="G52" i="16"/>
  <c r="O52" i="16" s="1"/>
  <c r="G126" i="16"/>
  <c r="O126" i="16" s="1"/>
  <c r="G200" i="16"/>
  <c r="O200" i="16" s="1"/>
  <c r="G93" i="16"/>
  <c r="O93" i="16" s="1"/>
  <c r="G167" i="16"/>
  <c r="O167" i="16" s="1"/>
  <c r="G102" i="16"/>
  <c r="O102" i="16" s="1"/>
  <c r="G176" i="16"/>
  <c r="O176" i="16" s="1"/>
  <c r="G69" i="16"/>
  <c r="G143" i="16"/>
  <c r="G217" i="16"/>
  <c r="H91" i="16"/>
  <c r="P91" i="16" s="1"/>
  <c r="H165" i="16"/>
  <c r="P165" i="16" s="1"/>
  <c r="H202" i="16"/>
  <c r="P202" i="16" s="1"/>
  <c r="H62" i="16"/>
  <c r="P62" i="16" s="1"/>
  <c r="H136" i="16"/>
  <c r="P136" i="16" s="1"/>
  <c r="H72" i="16"/>
  <c r="P72" i="16" s="1"/>
  <c r="H146" i="16"/>
  <c r="P146" i="16" s="1"/>
  <c r="G53" i="16"/>
  <c r="O53" i="16" s="1"/>
  <c r="G127" i="16"/>
  <c r="O127" i="16" s="1"/>
  <c r="G201" i="16"/>
  <c r="O201" i="16" s="1"/>
  <c r="G96" i="16"/>
  <c r="O96" i="16" s="1"/>
  <c r="G170" i="16"/>
  <c r="O170" i="16" s="1"/>
  <c r="G103" i="16"/>
  <c r="O103" i="16" s="1"/>
  <c r="G177" i="16"/>
  <c r="O177" i="16" s="1"/>
  <c r="G71" i="16"/>
  <c r="O71" i="16" s="1"/>
  <c r="G145" i="16"/>
  <c r="O145" i="16" s="1"/>
  <c r="G219" i="16"/>
  <c r="O219" i="16" s="1"/>
  <c r="G111" i="16"/>
  <c r="O111" i="16" s="1"/>
  <c r="G185" i="16"/>
  <c r="O185" i="16" s="1"/>
  <c r="H118" i="17" l="1"/>
  <c r="H155" i="17" s="1"/>
  <c r="H192" i="17" s="1"/>
  <c r="H229" i="17" s="1"/>
  <c r="C82" i="17"/>
  <c r="I82" i="17" s="1"/>
  <c r="D82" i="17"/>
  <c r="J82" i="17" s="1"/>
  <c r="J222" i="17"/>
  <c r="H259" i="17"/>
  <c r="J259" i="17" s="1"/>
  <c r="I194" i="17"/>
  <c r="E231" i="17"/>
  <c r="I231" i="17" s="1"/>
  <c r="J207" i="17"/>
  <c r="H244" i="17"/>
  <c r="J244" i="17" s="1"/>
  <c r="J210" i="17"/>
  <c r="H247" i="17"/>
  <c r="J247" i="17" s="1"/>
  <c r="J198" i="17"/>
  <c r="H235" i="17"/>
  <c r="J235" i="17" s="1"/>
  <c r="D172" i="7"/>
  <c r="D209" i="7" s="1"/>
  <c r="D156" i="17" s="1"/>
  <c r="C172" i="7"/>
  <c r="D208" i="7"/>
  <c r="P106" i="16"/>
  <c r="F106" i="17"/>
  <c r="F143" i="17" s="1"/>
  <c r="F180" i="17" s="1"/>
  <c r="F217" i="17" s="1"/>
  <c r="J69" i="17"/>
  <c r="J32" i="17"/>
  <c r="E106" i="17"/>
  <c r="I69" i="17"/>
  <c r="I32" i="17"/>
  <c r="O69" i="16"/>
  <c r="P143" i="16"/>
  <c r="J124" i="17"/>
  <c r="J133" i="17"/>
  <c r="J170" i="17"/>
  <c r="J185" i="17"/>
  <c r="J148" i="17"/>
  <c r="J161" i="17"/>
  <c r="H157" i="17"/>
  <c r="J120" i="17"/>
  <c r="J136" i="17"/>
  <c r="J173" i="17"/>
  <c r="P69" i="16"/>
  <c r="O217" i="16"/>
  <c r="P217" i="16"/>
  <c r="C245" i="7"/>
  <c r="I155" i="17"/>
  <c r="O143" i="16"/>
  <c r="P180" i="16"/>
  <c r="P32" i="16"/>
  <c r="O106" i="16"/>
  <c r="O180" i="16"/>
  <c r="O32" i="16"/>
  <c r="J118" i="17" l="1"/>
  <c r="J106" i="17"/>
  <c r="D155" i="17"/>
  <c r="J155" i="17" s="1"/>
  <c r="C119" i="17"/>
  <c r="I119" i="17" s="1"/>
  <c r="D119" i="17"/>
  <c r="J119" i="17" s="1"/>
  <c r="C282" i="7"/>
  <c r="C229" i="17" s="1"/>
  <c r="I229" i="17" s="1"/>
  <c r="C192" i="17"/>
  <c r="I192" i="17" s="1"/>
  <c r="J217" i="17"/>
  <c r="F254" i="17"/>
  <c r="J254" i="17" s="1"/>
  <c r="C209" i="7"/>
  <c r="D245" i="7"/>
  <c r="J143" i="17"/>
  <c r="J180" i="17"/>
  <c r="E143" i="17"/>
  <c r="I106" i="17"/>
  <c r="H194" i="17"/>
  <c r="J157" i="17"/>
  <c r="D246" i="7"/>
  <c r="J156" i="17"/>
  <c r="D282" i="7" l="1"/>
  <c r="D229" i="17" s="1"/>
  <c r="J229" i="17" s="1"/>
  <c r="D192" i="17"/>
  <c r="J192" i="17" s="1"/>
  <c r="C156" i="17"/>
  <c r="I156" i="17" s="1"/>
  <c r="D283" i="7"/>
  <c r="D230" i="17" s="1"/>
  <c r="J230" i="17" s="1"/>
  <c r="D193" i="17"/>
  <c r="J193" i="17" s="1"/>
  <c r="J194" i="17"/>
  <c r="H231" i="17"/>
  <c r="J231" i="17" s="1"/>
  <c r="C246" i="7"/>
  <c r="E180" i="17"/>
  <c r="I143" i="17"/>
  <c r="C283" i="7" l="1"/>
  <c r="C230" i="17" s="1"/>
  <c r="I230" i="17" s="1"/>
  <c r="C193" i="17"/>
  <c r="I193" i="17" s="1"/>
  <c r="E217" i="17"/>
  <c r="I180" i="17"/>
  <c r="I217" i="17" l="1"/>
  <c r="E254" i="17"/>
  <c r="I254" i="17" s="1"/>
</calcChain>
</file>

<file path=xl/sharedStrings.xml><?xml version="1.0" encoding="utf-8"?>
<sst xmlns="http://schemas.openxmlformats.org/spreadsheetml/2006/main" count="1501" uniqueCount="319">
  <si>
    <t>About this workbook:</t>
  </si>
  <si>
    <t>Workbook contents</t>
  </si>
  <si>
    <t>Description</t>
  </si>
  <si>
    <t>Status</t>
  </si>
  <si>
    <t>Version control</t>
  </si>
  <si>
    <t>Version</t>
  </si>
  <si>
    <t>Date</t>
  </si>
  <si>
    <t>Author</t>
  </si>
  <si>
    <t>Tracey Anderson</t>
  </si>
  <si>
    <t>Am-241</t>
  </si>
  <si>
    <t>C-14</t>
  </si>
  <si>
    <t>Co-60</t>
  </si>
  <si>
    <t>Cs-137</t>
  </si>
  <si>
    <t>Pu-239</t>
  </si>
  <si>
    <t>Ra-226</t>
  </si>
  <si>
    <t>Set</t>
  </si>
  <si>
    <t>Back to Status tab</t>
  </si>
  <si>
    <t>Sr-90</t>
  </si>
  <si>
    <t>Pu-240</t>
  </si>
  <si>
    <t>Po-210</t>
  </si>
  <si>
    <t>Th-232</t>
  </si>
  <si>
    <t>Doses per unit discharge
(output)</t>
  </si>
  <si>
    <t>Pb-210</t>
  </si>
  <si>
    <t>Bi-210</t>
  </si>
  <si>
    <t>Rn-222</t>
  </si>
  <si>
    <t>Po-218</t>
  </si>
  <si>
    <t>Pb-214</t>
  </si>
  <si>
    <t>Bi-214</t>
  </si>
  <si>
    <t>Po-214</t>
  </si>
  <si>
    <t>Ra-228</t>
  </si>
  <si>
    <t>U-238</t>
  </si>
  <si>
    <t>Th-234</t>
  </si>
  <si>
    <t>Pa-234m</t>
  </si>
  <si>
    <t>H-3(HTO)</t>
  </si>
  <si>
    <t>Radionuclide-specific data</t>
  </si>
  <si>
    <t>Radionuclide-specific data required for calculations</t>
  </si>
  <si>
    <t>Dose coefficients</t>
  </si>
  <si>
    <t>Radio-nuclide</t>
  </si>
  <si>
    <t>First progeny</t>
  </si>
  <si>
    <t>Is progeny</t>
  </si>
  <si>
    <t>Is noble</t>
  </si>
  <si>
    <t>—</t>
  </si>
  <si>
    <r>
      <t>Sv Bq</t>
    </r>
    <r>
      <rPr>
        <b/>
        <vertAlign val="superscript"/>
        <sz val="8"/>
        <rFont val="Arial"/>
        <family val="2"/>
      </rPr>
      <t>-1</t>
    </r>
  </si>
  <si>
    <t>H-3(OBT)</t>
  </si>
  <si>
    <t>Parameters</t>
  </si>
  <si>
    <t>Radionuclides</t>
  </si>
  <si>
    <t>Other parameters</t>
  </si>
  <si>
    <t>Parameter</t>
  </si>
  <si>
    <t>Symbol</t>
  </si>
  <si>
    <t>Value</t>
  </si>
  <si>
    <t>Units</t>
  </si>
  <si>
    <t>Discharge rate</t>
  </si>
  <si>
    <t>Q</t>
  </si>
  <si>
    <r>
      <t>Bq s</t>
    </r>
    <r>
      <rPr>
        <vertAlign val="superscript"/>
        <sz val="8"/>
        <rFont val="Arial"/>
        <family val="2"/>
      </rPr>
      <t>-1</t>
    </r>
  </si>
  <si>
    <r>
      <t>Bq kg</t>
    </r>
    <r>
      <rPr>
        <b/>
        <vertAlign val="superscript"/>
        <sz val="8"/>
        <rFont val="Arial"/>
        <family val="2"/>
      </rPr>
      <t>-1</t>
    </r>
    <r>
      <rPr>
        <b/>
        <sz val="8"/>
        <rFont val="Arial"/>
        <family val="2"/>
      </rPr>
      <t xml:space="preserve">
Bq</t>
    </r>
    <r>
      <rPr>
        <b/>
        <vertAlign val="superscript"/>
        <sz val="8"/>
        <rFont val="Arial"/>
        <family val="2"/>
      </rPr>
      <t>-1</t>
    </r>
    <r>
      <rPr>
        <b/>
        <sz val="8"/>
        <rFont val="Arial"/>
        <family val="2"/>
      </rPr>
      <t xml:space="preserve"> m</t>
    </r>
    <r>
      <rPr>
        <b/>
        <vertAlign val="superscript"/>
        <sz val="8"/>
        <rFont val="Arial"/>
        <family val="2"/>
      </rPr>
      <t>2</t>
    </r>
    <r>
      <rPr>
        <b/>
        <sz val="8"/>
        <rFont val="Arial"/>
        <family val="2"/>
      </rPr>
      <t xml:space="preserve"> s</t>
    </r>
  </si>
  <si>
    <r>
      <t>Sv Bq</t>
    </r>
    <r>
      <rPr>
        <b/>
        <vertAlign val="superscript"/>
        <sz val="8"/>
        <rFont val="Arial"/>
        <family val="2"/>
      </rPr>
      <t>-1</t>
    </r>
    <r>
      <rPr>
        <b/>
        <sz val="8"/>
        <rFont val="Arial"/>
        <family val="2"/>
      </rPr>
      <t xml:space="preserve">
s</t>
    </r>
    <r>
      <rPr>
        <b/>
        <vertAlign val="superscript"/>
        <sz val="8"/>
        <rFont val="Arial"/>
        <family val="2"/>
      </rPr>
      <t>-1</t>
    </r>
    <r>
      <rPr>
        <b/>
        <sz val="8"/>
        <rFont val="Arial"/>
        <family val="2"/>
      </rPr>
      <t xml:space="preserve"> m</t>
    </r>
    <r>
      <rPr>
        <b/>
        <vertAlign val="superscript"/>
        <sz val="8"/>
        <rFont val="Arial"/>
        <family val="2"/>
      </rPr>
      <t>2</t>
    </r>
  </si>
  <si>
    <t>Africa</t>
  </si>
  <si>
    <t>Europe</t>
  </si>
  <si>
    <t>North America</t>
  </si>
  <si>
    <t>West Asia</t>
  </si>
  <si>
    <t>Cereals</t>
  </si>
  <si>
    <t>Other vegetables and fruit</t>
  </si>
  <si>
    <t>Asia + Pacific</t>
  </si>
  <si>
    <t>Latin America + Caribbean</t>
  </si>
  <si>
    <t>Total doses</t>
  </si>
  <si>
    <r>
      <t>L kg</t>
    </r>
    <r>
      <rPr>
        <vertAlign val="superscript"/>
        <sz val="8"/>
        <rFont val="Arial"/>
        <family val="2"/>
      </rPr>
      <t>-1</t>
    </r>
  </si>
  <si>
    <t>Ru-106</t>
  </si>
  <si>
    <t>I-129</t>
  </si>
  <si>
    <t>Freshwater fish</t>
  </si>
  <si>
    <r>
      <t>Per caput consumption rates (kg y</t>
    </r>
    <r>
      <rPr>
        <vertAlign val="superscript"/>
        <sz val="8"/>
        <rFont val="Arial"/>
        <family val="2"/>
      </rPr>
      <t>-1</t>
    </r>
    <r>
      <rPr>
        <sz val="8"/>
        <rFont val="Arial"/>
        <family val="2"/>
      </rPr>
      <t>)</t>
    </r>
  </si>
  <si>
    <r>
      <t>L kg</t>
    </r>
    <r>
      <rPr>
        <b/>
        <vertAlign val="superscript"/>
        <sz val="8"/>
        <rFont val="Arial"/>
        <family val="2"/>
      </rPr>
      <t>-1</t>
    </r>
  </si>
  <si>
    <t>Assumed value (noble gas)</t>
  </si>
  <si>
    <r>
      <t>m</t>
    </r>
    <r>
      <rPr>
        <vertAlign val="superscript"/>
        <sz val="8"/>
        <rFont val="Arial"/>
        <family val="2"/>
      </rPr>
      <t>3</t>
    </r>
    <r>
      <rPr>
        <sz val="8"/>
        <rFont val="Arial"/>
        <family val="2"/>
      </rPr>
      <t xml:space="preserve"> s</t>
    </r>
    <r>
      <rPr>
        <vertAlign val="superscript"/>
        <sz val="8"/>
        <rFont val="Arial"/>
        <family val="2"/>
      </rPr>
      <t>-1</t>
    </r>
  </si>
  <si>
    <t>Small</t>
  </si>
  <si>
    <t>Large</t>
  </si>
  <si>
    <r>
      <t>F</t>
    </r>
    <r>
      <rPr>
        <vertAlign val="subscript"/>
        <sz val="8"/>
        <rFont val="Arial"/>
        <family val="2"/>
      </rPr>
      <t>r,small</t>
    </r>
  </si>
  <si>
    <r>
      <t>F</t>
    </r>
    <r>
      <rPr>
        <vertAlign val="subscript"/>
        <sz val="8"/>
        <rFont val="Arial"/>
        <family val="2"/>
      </rPr>
      <t>r,large</t>
    </r>
  </si>
  <si>
    <t>River flow rate, small river</t>
  </si>
  <si>
    <t>River flow rate, large river</t>
  </si>
  <si>
    <r>
      <t>I</t>
    </r>
    <r>
      <rPr>
        <vertAlign val="subscript"/>
        <sz val="8"/>
        <rFont val="Arial"/>
        <family val="2"/>
      </rPr>
      <t>irr</t>
    </r>
  </si>
  <si>
    <r>
      <t>F</t>
    </r>
    <r>
      <rPr>
        <vertAlign val="subscript"/>
        <sz val="8"/>
        <rFont val="Arial"/>
        <family val="2"/>
      </rPr>
      <t>irr</t>
    </r>
  </si>
  <si>
    <t>Daily irrigation rate</t>
  </si>
  <si>
    <r>
      <t>m</t>
    </r>
    <r>
      <rPr>
        <vertAlign val="superscript"/>
        <sz val="8"/>
        <rFont val="Arial"/>
        <family val="2"/>
      </rPr>
      <t>3</t>
    </r>
    <r>
      <rPr>
        <sz val="8"/>
        <rFont val="Arial"/>
        <family val="2"/>
      </rPr>
      <t xml:space="preserve"> m</t>
    </r>
    <r>
      <rPr>
        <vertAlign val="superscript"/>
        <sz val="8"/>
        <rFont val="Arial"/>
        <family val="2"/>
      </rPr>
      <t>-2</t>
    </r>
    <r>
      <rPr>
        <sz val="8"/>
        <rFont val="Arial"/>
        <family val="2"/>
      </rPr>
      <t xml:space="preserve"> d</t>
    </r>
    <r>
      <rPr>
        <vertAlign val="superscript"/>
        <sz val="8"/>
        <rFont val="Arial"/>
        <family val="2"/>
      </rPr>
      <t>-1</t>
    </r>
  </si>
  <si>
    <r>
      <t>C</t>
    </r>
    <r>
      <rPr>
        <b/>
        <vertAlign val="subscript"/>
        <sz val="8"/>
        <rFont val="Arial"/>
        <family val="2"/>
      </rPr>
      <t>cereal</t>
    </r>
    <r>
      <rPr>
        <b/>
        <sz val="8"/>
        <rFont val="Arial"/>
        <family val="2"/>
      </rPr>
      <t xml:space="preserve"> (Bq kg</t>
    </r>
    <r>
      <rPr>
        <b/>
        <vertAlign val="superscript"/>
        <sz val="8"/>
        <rFont val="Arial"/>
        <family val="2"/>
      </rPr>
      <t>-1</t>
    </r>
    <r>
      <rPr>
        <b/>
        <sz val="8"/>
        <rFont val="Arial"/>
        <family val="2"/>
      </rPr>
      <t>)</t>
    </r>
  </si>
  <si>
    <r>
      <t>C</t>
    </r>
    <r>
      <rPr>
        <b/>
        <vertAlign val="subscript"/>
        <sz val="8"/>
        <rFont val="Arial"/>
        <family val="2"/>
      </rPr>
      <t>veg</t>
    </r>
    <r>
      <rPr>
        <b/>
        <sz val="8"/>
        <rFont val="Arial"/>
        <family val="2"/>
      </rPr>
      <t xml:space="preserve"> (Bq kg</t>
    </r>
    <r>
      <rPr>
        <b/>
        <vertAlign val="superscript"/>
        <sz val="8"/>
        <rFont val="Arial"/>
        <family val="2"/>
      </rPr>
      <t>-1</t>
    </r>
    <r>
      <rPr>
        <b/>
        <sz val="8"/>
        <rFont val="Arial"/>
        <family val="2"/>
      </rPr>
      <t>)</t>
    </r>
  </si>
  <si>
    <t>Seconds per day</t>
  </si>
  <si>
    <r>
      <t>s d</t>
    </r>
    <r>
      <rPr>
        <vertAlign val="superscript"/>
        <sz val="8"/>
        <rFont val="Arial"/>
        <family val="2"/>
      </rPr>
      <t>-1</t>
    </r>
  </si>
  <si>
    <r>
      <t>WC</t>
    </r>
    <r>
      <rPr>
        <vertAlign val="subscript"/>
        <sz val="8"/>
        <rFont val="Arial"/>
        <family val="2"/>
      </rPr>
      <t>f</t>
    </r>
  </si>
  <si>
    <r>
      <t>WEQ</t>
    </r>
    <r>
      <rPr>
        <vertAlign val="subscript"/>
        <sz val="8"/>
        <rFont val="Arial"/>
        <family val="2"/>
      </rPr>
      <t>f</t>
    </r>
  </si>
  <si>
    <r>
      <t>R</t>
    </r>
    <r>
      <rPr>
        <vertAlign val="subscript"/>
        <sz val="8"/>
        <rFont val="Arial"/>
        <family val="2"/>
      </rPr>
      <t>f</t>
    </r>
  </si>
  <si>
    <r>
      <t>kg kg</t>
    </r>
    <r>
      <rPr>
        <vertAlign val="superscript"/>
        <sz val="8"/>
        <rFont val="Arial"/>
        <family val="2"/>
      </rPr>
      <t>-1</t>
    </r>
  </si>
  <si>
    <r>
      <t>Bq m</t>
    </r>
    <r>
      <rPr>
        <b/>
        <vertAlign val="superscript"/>
        <sz val="8"/>
        <rFont val="Arial"/>
        <family val="2"/>
      </rPr>
      <t>-3</t>
    </r>
    <r>
      <rPr>
        <b/>
        <sz val="8"/>
        <rFont val="Arial"/>
        <family val="2"/>
      </rPr>
      <t xml:space="preserve">
Bq</t>
    </r>
    <r>
      <rPr>
        <b/>
        <vertAlign val="superscript"/>
        <sz val="8"/>
        <rFont val="Arial"/>
        <family val="2"/>
      </rPr>
      <t>-1</t>
    </r>
    <r>
      <rPr>
        <b/>
        <sz val="8"/>
        <rFont val="Arial"/>
        <family val="2"/>
      </rPr>
      <t xml:space="preserve"> m</t>
    </r>
    <r>
      <rPr>
        <b/>
        <vertAlign val="superscript"/>
        <sz val="8"/>
        <rFont val="Arial"/>
        <family val="2"/>
      </rPr>
      <t>3</t>
    </r>
  </si>
  <si>
    <r>
      <t>I</t>
    </r>
    <r>
      <rPr>
        <vertAlign val="subscript"/>
        <sz val="8"/>
        <rFont val="Arial"/>
        <family val="2"/>
      </rPr>
      <t>water</t>
    </r>
  </si>
  <si>
    <r>
      <t>m</t>
    </r>
    <r>
      <rPr>
        <vertAlign val="superscript"/>
        <sz val="8"/>
        <rFont val="Arial"/>
        <family val="2"/>
      </rPr>
      <t>3</t>
    </r>
  </si>
  <si>
    <t>WHO</t>
  </si>
  <si>
    <r>
      <t>P</t>
    </r>
    <r>
      <rPr>
        <vertAlign val="subscript"/>
        <sz val="8"/>
        <rFont val="Arial"/>
        <family val="2"/>
      </rPr>
      <t>river</t>
    </r>
  </si>
  <si>
    <t>Activity concentrations</t>
  </si>
  <si>
    <t>Riverbed sediment</t>
  </si>
  <si>
    <r>
      <t>Bq kg</t>
    </r>
    <r>
      <rPr>
        <b/>
        <vertAlign val="superscript"/>
        <sz val="8"/>
        <rFont val="Arial"/>
        <family val="2"/>
      </rPr>
      <t>-1</t>
    </r>
  </si>
  <si>
    <r>
      <rPr>
        <sz val="8"/>
        <rFont val="Symbol"/>
        <family val="1"/>
        <charset val="2"/>
      </rPr>
      <t>r</t>
    </r>
    <r>
      <rPr>
        <vertAlign val="subscript"/>
        <sz val="8"/>
        <rFont val="Arial"/>
        <family val="2"/>
      </rPr>
      <t>sed</t>
    </r>
  </si>
  <si>
    <r>
      <t>kg m</t>
    </r>
    <r>
      <rPr>
        <vertAlign val="superscript"/>
        <sz val="8"/>
        <rFont val="Arial"/>
        <family val="2"/>
      </rPr>
      <t>-3</t>
    </r>
  </si>
  <si>
    <r>
      <t>t</t>
    </r>
    <r>
      <rPr>
        <vertAlign val="subscript"/>
        <sz val="8"/>
        <rFont val="Arial"/>
        <family val="2"/>
      </rPr>
      <t>sed</t>
    </r>
  </si>
  <si>
    <t>m</t>
  </si>
  <si>
    <r>
      <t>O</t>
    </r>
    <r>
      <rPr>
        <vertAlign val="subscript"/>
        <sz val="8"/>
        <rFont val="Arial"/>
        <family val="2"/>
      </rPr>
      <t>river</t>
    </r>
  </si>
  <si>
    <t>s</t>
  </si>
  <si>
    <t>Y-90</t>
  </si>
  <si>
    <t>Rh-106</t>
  </si>
  <si>
    <t>Ba-137m</t>
  </si>
  <si>
    <t>Ac-228</t>
  </si>
  <si>
    <t>Th-228</t>
  </si>
  <si>
    <t>Pb-212</t>
  </si>
  <si>
    <t>U-234</t>
  </si>
  <si>
    <t>Ingestion dose coefficient of parent includes effect of progeny</t>
  </si>
  <si>
    <r>
      <t>C</t>
    </r>
    <r>
      <rPr>
        <b/>
        <vertAlign val="subscript"/>
        <sz val="8"/>
        <rFont val="Arial"/>
        <family val="2"/>
      </rPr>
      <t>sw</t>
    </r>
    <r>
      <rPr>
        <b/>
        <sz val="8"/>
        <rFont val="Arial"/>
        <family val="2"/>
      </rPr>
      <t xml:space="preserve"> (Bq L</t>
    </r>
    <r>
      <rPr>
        <b/>
        <vertAlign val="superscript"/>
        <sz val="8"/>
        <rFont val="Arial"/>
        <family val="2"/>
      </rPr>
      <t>-1</t>
    </r>
    <r>
      <rPr>
        <b/>
        <sz val="8"/>
        <rFont val="Arial"/>
        <family val="2"/>
      </rPr>
      <t>)</t>
    </r>
  </si>
  <si>
    <t>P</t>
  </si>
  <si>
    <t>Daily precipitation rate</t>
  </si>
  <si>
    <r>
      <t>L m</t>
    </r>
    <r>
      <rPr>
        <vertAlign val="superscript"/>
        <sz val="8"/>
        <rFont val="Arial"/>
        <family val="2"/>
      </rPr>
      <t>-2</t>
    </r>
    <r>
      <rPr>
        <sz val="8"/>
        <rFont val="Arial"/>
        <family val="2"/>
      </rPr>
      <t xml:space="preserve"> d</t>
    </r>
    <r>
      <rPr>
        <vertAlign val="superscript"/>
        <sz val="8"/>
        <rFont val="Arial"/>
        <family val="2"/>
      </rPr>
      <t>-1</t>
    </r>
  </si>
  <si>
    <r>
      <t>WC</t>
    </r>
    <r>
      <rPr>
        <vertAlign val="subscript"/>
        <sz val="8"/>
        <rFont val="Arial"/>
        <family val="2"/>
      </rPr>
      <t>p</t>
    </r>
  </si>
  <si>
    <t>Relative humidity</t>
  </si>
  <si>
    <t>RH</t>
  </si>
  <si>
    <t>γ</t>
  </si>
  <si>
    <r>
      <t>C</t>
    </r>
    <r>
      <rPr>
        <b/>
        <vertAlign val="subscript"/>
        <sz val="8"/>
        <rFont val="Arial"/>
        <family val="2"/>
      </rPr>
      <t>air</t>
    </r>
    <r>
      <rPr>
        <b/>
        <sz val="8"/>
        <rFont val="Arial"/>
        <family val="2"/>
      </rPr>
      <t xml:space="preserve"> (Bq L</t>
    </r>
    <r>
      <rPr>
        <b/>
        <vertAlign val="superscript"/>
        <sz val="8"/>
        <rFont val="Arial"/>
        <family val="2"/>
      </rPr>
      <t>-1</t>
    </r>
    <r>
      <rPr>
        <b/>
        <sz val="8"/>
        <rFont val="Arial"/>
        <family val="2"/>
      </rPr>
      <t>)</t>
    </r>
  </si>
  <si>
    <r>
      <t>R</t>
    </r>
    <r>
      <rPr>
        <vertAlign val="subscript"/>
        <sz val="8"/>
        <rFont val="Arial"/>
        <family val="2"/>
      </rPr>
      <t>p</t>
    </r>
  </si>
  <si>
    <r>
      <t>WEQ</t>
    </r>
    <r>
      <rPr>
        <vertAlign val="subscript"/>
        <sz val="8"/>
        <rFont val="Arial"/>
        <family val="2"/>
      </rPr>
      <t>p</t>
    </r>
  </si>
  <si>
    <r>
      <t>CD</t>
    </r>
    <r>
      <rPr>
        <vertAlign val="subscript"/>
        <sz val="8"/>
        <rFont val="Arial"/>
        <family val="2"/>
      </rPr>
      <t>c</t>
    </r>
  </si>
  <si>
    <r>
      <t>F</t>
    </r>
    <r>
      <rPr>
        <vertAlign val="subscript"/>
        <sz val="8"/>
        <rFont val="Arial"/>
        <family val="2"/>
      </rPr>
      <t>c</t>
    </r>
  </si>
  <si>
    <r>
      <t>(g C) m</t>
    </r>
    <r>
      <rPr>
        <vertAlign val="superscript"/>
        <sz val="8"/>
        <rFont val="Arial"/>
        <family val="2"/>
      </rPr>
      <t>-2</t>
    </r>
    <r>
      <rPr>
        <sz val="8"/>
        <rFont val="Arial"/>
        <family val="2"/>
      </rPr>
      <t xml:space="preserve"> d</t>
    </r>
    <r>
      <rPr>
        <vertAlign val="superscript"/>
        <sz val="8"/>
        <rFont val="Arial"/>
        <family val="2"/>
      </rPr>
      <t>-1</t>
    </r>
  </si>
  <si>
    <r>
      <t>SA</t>
    </r>
    <r>
      <rPr>
        <b/>
        <vertAlign val="subscript"/>
        <sz val="8"/>
        <rFont val="Arial"/>
        <family val="2"/>
      </rPr>
      <t>air,cereal</t>
    </r>
    <r>
      <rPr>
        <b/>
        <sz val="8"/>
        <rFont val="Arial"/>
        <family val="2"/>
      </rPr>
      <t xml:space="preserve"> (Bq (g C)</t>
    </r>
    <r>
      <rPr>
        <b/>
        <vertAlign val="superscript"/>
        <sz val="8"/>
        <rFont val="Arial"/>
        <family val="2"/>
      </rPr>
      <t>-1</t>
    </r>
    <r>
      <rPr>
        <b/>
        <sz val="8"/>
        <rFont val="Arial"/>
        <family val="2"/>
      </rPr>
      <t>)</t>
    </r>
  </si>
  <si>
    <r>
      <t>SA</t>
    </r>
    <r>
      <rPr>
        <b/>
        <vertAlign val="subscript"/>
        <sz val="8"/>
        <rFont val="Arial"/>
        <family val="2"/>
      </rPr>
      <t>air,veg</t>
    </r>
    <r>
      <rPr>
        <b/>
        <sz val="8"/>
        <rFont val="Arial"/>
        <family val="2"/>
      </rPr>
      <t xml:space="preserve"> (Bq (g C)</t>
    </r>
    <r>
      <rPr>
        <b/>
        <vertAlign val="superscript"/>
        <sz val="8"/>
        <rFont val="Arial"/>
        <family val="2"/>
      </rPr>
      <t>-1</t>
    </r>
    <r>
      <rPr>
        <b/>
        <sz val="8"/>
        <rFont val="Arial"/>
        <family val="2"/>
      </rPr>
      <t>)</t>
    </r>
  </si>
  <si>
    <r>
      <t>S</t>
    </r>
    <r>
      <rPr>
        <vertAlign val="subscript"/>
        <sz val="8"/>
        <rFont val="Arial"/>
        <family val="2"/>
      </rPr>
      <t>p</t>
    </r>
  </si>
  <si>
    <r>
      <t>(g C) kg</t>
    </r>
    <r>
      <rPr>
        <vertAlign val="superscript"/>
        <sz val="8"/>
        <rFont val="Arial"/>
        <family val="2"/>
      </rPr>
      <t>-1</t>
    </r>
  </si>
  <si>
    <r>
      <t>C</t>
    </r>
    <r>
      <rPr>
        <b/>
        <vertAlign val="subscript"/>
        <sz val="8"/>
        <rFont val="Arial"/>
        <family val="2"/>
      </rPr>
      <t>sed</t>
    </r>
    <r>
      <rPr>
        <b/>
        <sz val="8"/>
        <rFont val="Arial"/>
        <family val="2"/>
      </rPr>
      <t xml:space="preserve"> (Bq kg</t>
    </r>
    <r>
      <rPr>
        <b/>
        <vertAlign val="superscript"/>
        <sz val="8"/>
        <rFont val="Arial"/>
        <family val="2"/>
      </rPr>
      <t>-1</t>
    </r>
    <r>
      <rPr>
        <b/>
        <sz val="8"/>
        <rFont val="Arial"/>
        <family val="2"/>
      </rPr>
      <t>)</t>
    </r>
  </si>
  <si>
    <t>Individual doses</t>
  </si>
  <si>
    <t>Collective doses</t>
  </si>
  <si>
    <r>
      <t>T</t>
    </r>
    <r>
      <rPr>
        <vertAlign val="subscript"/>
        <sz val="8"/>
        <rFont val="Arial"/>
        <family val="2"/>
      </rPr>
      <t>dw</t>
    </r>
  </si>
  <si>
    <t>Duration of abstraction</t>
  </si>
  <si>
    <t>Fish catch, small river</t>
  </si>
  <si>
    <t>Fish catch, large river</t>
  </si>
  <si>
    <t>River length, small</t>
  </si>
  <si>
    <r>
      <t>L</t>
    </r>
    <r>
      <rPr>
        <vertAlign val="subscript"/>
        <sz val="8"/>
        <rFont val="Arial"/>
        <family val="2"/>
      </rPr>
      <t>river</t>
    </r>
  </si>
  <si>
    <t>km</t>
  </si>
  <si>
    <t>River length, large</t>
  </si>
  <si>
    <r>
      <t>C</t>
    </r>
    <r>
      <rPr>
        <b/>
        <vertAlign val="subscript"/>
        <sz val="8"/>
        <rFont val="Arial"/>
        <family val="2"/>
      </rPr>
      <t>fw</t>
    </r>
    <r>
      <rPr>
        <b/>
        <sz val="8"/>
        <rFont val="Arial"/>
        <family val="2"/>
      </rPr>
      <t xml:space="preserve"> (Bq m</t>
    </r>
    <r>
      <rPr>
        <b/>
        <vertAlign val="superscript"/>
        <sz val="8"/>
        <rFont val="Arial"/>
        <family val="2"/>
      </rPr>
      <t>-3</t>
    </r>
    <r>
      <rPr>
        <b/>
        <sz val="8"/>
        <rFont val="Arial"/>
        <family val="2"/>
      </rPr>
      <t>)</t>
    </r>
  </si>
  <si>
    <r>
      <t>m</t>
    </r>
    <r>
      <rPr>
        <b/>
        <vertAlign val="superscript"/>
        <sz val="8"/>
        <rFont val="Arial"/>
        <family val="2"/>
      </rPr>
      <t>3</t>
    </r>
    <r>
      <rPr>
        <b/>
        <sz val="8"/>
        <rFont val="Arial"/>
        <family val="2"/>
      </rPr>
      <t xml:space="preserve"> t</t>
    </r>
    <r>
      <rPr>
        <b/>
        <vertAlign val="superscript"/>
        <sz val="8"/>
        <rFont val="Arial"/>
        <family val="2"/>
      </rPr>
      <t>-1</t>
    </r>
  </si>
  <si>
    <t>Suspended sediment load, small river</t>
  </si>
  <si>
    <t>α</t>
  </si>
  <si>
    <t>Suspended sediment load, large river</t>
  </si>
  <si>
    <r>
      <t>t m</t>
    </r>
    <r>
      <rPr>
        <vertAlign val="superscript"/>
        <sz val="8"/>
        <rFont val="Arial"/>
        <family val="2"/>
      </rPr>
      <t>-3</t>
    </r>
  </si>
  <si>
    <t>Progeny/ species</t>
  </si>
  <si>
    <t>Disch'g'd r'nuclide</t>
  </si>
  <si>
    <t>Progeny/species</t>
  </si>
  <si>
    <r>
      <t>kg km</t>
    </r>
    <r>
      <rPr>
        <vertAlign val="superscript"/>
        <sz val="8"/>
        <rFont val="Arial"/>
        <family val="2"/>
      </rPr>
      <t>-1</t>
    </r>
  </si>
  <si>
    <r>
      <t>C</t>
    </r>
    <r>
      <rPr>
        <b/>
        <vertAlign val="subscript"/>
        <sz val="8"/>
        <rFont val="Arial"/>
        <family val="2"/>
      </rPr>
      <t>fish</t>
    </r>
    <r>
      <rPr>
        <b/>
        <sz val="8"/>
        <rFont val="Arial"/>
        <family val="2"/>
      </rPr>
      <t xml:space="preserve"> (Bq kg</t>
    </r>
    <r>
      <rPr>
        <b/>
        <vertAlign val="superscript"/>
        <sz val="8"/>
        <rFont val="Arial"/>
        <family val="2"/>
      </rPr>
      <t>-1</t>
    </r>
    <r>
      <rPr>
        <b/>
        <sz val="8"/>
        <rFont val="Arial"/>
        <family val="2"/>
      </rPr>
      <t>)</t>
    </r>
  </si>
  <si>
    <t>Region-specific doses</t>
  </si>
  <si>
    <t>Non-region-specific doses</t>
  </si>
  <si>
    <t>Calculations for collective doses from all pathways</t>
  </si>
  <si>
    <t>Th-230</t>
  </si>
  <si>
    <r>
      <t>F</t>
    </r>
    <r>
      <rPr>
        <vertAlign val="subscript"/>
        <sz val="8"/>
        <rFont val="Arial"/>
        <family val="2"/>
      </rPr>
      <t>irr,surface</t>
    </r>
  </si>
  <si>
    <t>(-)</t>
  </si>
  <si>
    <r>
      <t>A</t>
    </r>
    <r>
      <rPr>
        <vertAlign val="subscript"/>
        <sz val="8"/>
        <rFont val="Arial"/>
        <family val="2"/>
      </rPr>
      <t>irr,unit</t>
    </r>
  </si>
  <si>
    <r>
      <t>(m</t>
    </r>
    <r>
      <rPr>
        <vertAlign val="superscript"/>
        <sz val="8"/>
        <rFont val="Arial"/>
        <family val="2"/>
      </rPr>
      <t>2</t>
    </r>
    <r>
      <rPr>
        <sz val="8"/>
        <rFont val="Arial"/>
        <family val="2"/>
      </rPr>
      <t xml:space="preserve"> m</t>
    </r>
    <r>
      <rPr>
        <vertAlign val="superscript"/>
        <sz val="8"/>
        <rFont val="Arial"/>
        <family val="2"/>
      </rPr>
      <t>-3</t>
    </r>
    <r>
      <rPr>
        <sz val="8"/>
        <rFont val="Arial"/>
        <family val="2"/>
      </rPr>
      <t xml:space="preserve"> a)</t>
    </r>
  </si>
  <si>
    <t>Geog region</t>
  </si>
  <si>
    <t>Radionuclide-dependent calculations</t>
  </si>
  <si>
    <t>River size-dependent calculations</t>
  </si>
  <si>
    <t>Param'r</t>
  </si>
  <si>
    <r>
      <t>Bq m</t>
    </r>
    <r>
      <rPr>
        <vertAlign val="superscript"/>
        <sz val="8"/>
        <rFont val="Arial"/>
        <family val="2"/>
      </rPr>
      <t>-3</t>
    </r>
  </si>
  <si>
    <r>
      <t>C</t>
    </r>
    <r>
      <rPr>
        <vertAlign val="subscript"/>
        <sz val="8"/>
        <rFont val="Arial"/>
        <family val="2"/>
      </rPr>
      <t>uw</t>
    </r>
  </si>
  <si>
    <r>
      <t>d</t>
    </r>
    <r>
      <rPr>
        <vertAlign val="subscript"/>
        <sz val="8"/>
        <rFont val="Arial"/>
        <family val="2"/>
      </rPr>
      <t>irr</t>
    </r>
  </si>
  <si>
    <r>
      <t>Bq m</t>
    </r>
    <r>
      <rPr>
        <vertAlign val="superscript"/>
        <sz val="8"/>
        <rFont val="Arial"/>
        <family val="2"/>
      </rPr>
      <t>-2</t>
    </r>
    <r>
      <rPr>
        <sz val="8"/>
        <rFont val="Arial"/>
        <family val="2"/>
      </rPr>
      <t xml:space="preserve"> d</t>
    </r>
    <r>
      <rPr>
        <vertAlign val="superscript"/>
        <sz val="8"/>
        <rFont val="Arial"/>
        <family val="2"/>
      </rPr>
      <t>-1</t>
    </r>
  </si>
  <si>
    <r>
      <t>V</t>
    </r>
    <r>
      <rPr>
        <b/>
        <vertAlign val="subscript"/>
        <sz val="8"/>
        <rFont val="Arial"/>
        <family val="2"/>
      </rPr>
      <t>irr,surface</t>
    </r>
    <r>
      <rPr>
        <b/>
        <sz val="8"/>
        <rFont val="Arial"/>
        <family val="2"/>
      </rPr>
      <t xml:space="preserve">
(m</t>
    </r>
    <r>
      <rPr>
        <b/>
        <vertAlign val="superscript"/>
        <sz val="8"/>
        <rFont val="Arial"/>
        <family val="2"/>
      </rPr>
      <t>3</t>
    </r>
    <r>
      <rPr>
        <b/>
        <sz val="8"/>
        <rFont val="Arial"/>
        <family val="2"/>
      </rPr>
      <t xml:space="preserve"> s</t>
    </r>
    <r>
      <rPr>
        <b/>
        <vertAlign val="superscript"/>
        <sz val="8"/>
        <rFont val="Arial"/>
        <family val="2"/>
      </rPr>
      <t>-1</t>
    </r>
    <r>
      <rPr>
        <b/>
        <sz val="8"/>
        <rFont val="Arial"/>
        <family val="2"/>
      </rPr>
      <t>)</t>
    </r>
  </si>
  <si>
    <r>
      <t>A</t>
    </r>
    <r>
      <rPr>
        <b/>
        <vertAlign val="subscript"/>
        <sz val="8"/>
        <rFont val="Arial"/>
        <family val="2"/>
      </rPr>
      <t>irr,surface</t>
    </r>
    <r>
      <rPr>
        <b/>
        <sz val="8"/>
        <rFont val="Arial"/>
        <family val="2"/>
      </rPr>
      <t xml:space="preserve">
(m</t>
    </r>
    <r>
      <rPr>
        <b/>
        <vertAlign val="superscript"/>
        <sz val="8"/>
        <rFont val="Arial"/>
        <family val="2"/>
      </rPr>
      <t>2</t>
    </r>
    <r>
      <rPr>
        <b/>
        <sz val="8"/>
        <rFont val="Arial"/>
        <family val="2"/>
      </rPr>
      <t>)</t>
    </r>
  </si>
  <si>
    <r>
      <t>d</t>
    </r>
    <r>
      <rPr>
        <b/>
        <vertAlign val="subscript"/>
        <sz val="8"/>
        <rFont val="Arial"/>
        <family val="2"/>
      </rPr>
      <t>irr,surface</t>
    </r>
    <r>
      <rPr>
        <b/>
        <sz val="8"/>
        <rFont val="Arial"/>
        <family val="2"/>
      </rPr>
      <t xml:space="preserve">
(Bq m</t>
    </r>
    <r>
      <rPr>
        <b/>
        <vertAlign val="superscript"/>
        <sz val="8"/>
        <rFont val="Arial"/>
        <family val="2"/>
      </rPr>
      <t>-2</t>
    </r>
    <r>
      <rPr>
        <b/>
        <sz val="8"/>
        <rFont val="Arial"/>
        <family val="2"/>
      </rPr>
      <t xml:space="preserve"> s</t>
    </r>
    <r>
      <rPr>
        <b/>
        <vertAlign val="superscript"/>
        <sz val="8"/>
        <rFont val="Arial"/>
        <family val="2"/>
      </rPr>
      <t>-1</t>
    </r>
    <r>
      <rPr>
        <b/>
        <sz val="8"/>
        <rFont val="Arial"/>
        <family val="2"/>
      </rPr>
      <t>)</t>
    </r>
  </si>
  <si>
    <r>
      <t>C</t>
    </r>
    <r>
      <rPr>
        <b/>
        <vertAlign val="subscript"/>
        <sz val="8"/>
        <rFont val="Arial"/>
        <family val="2"/>
      </rPr>
      <t>cereal</t>
    </r>
    <r>
      <rPr>
        <b/>
        <sz val="8"/>
        <rFont val="Arial"/>
        <family val="2"/>
      </rPr>
      <t xml:space="preserve">
(Bq kg</t>
    </r>
    <r>
      <rPr>
        <b/>
        <vertAlign val="superscript"/>
        <sz val="8"/>
        <rFont val="Arial"/>
        <family val="2"/>
      </rPr>
      <t>-1</t>
    </r>
    <r>
      <rPr>
        <b/>
        <sz val="8"/>
        <rFont val="Arial"/>
        <family val="2"/>
      </rPr>
      <t>)</t>
    </r>
  </si>
  <si>
    <r>
      <t>Cereal yield (kg m</t>
    </r>
    <r>
      <rPr>
        <vertAlign val="superscript"/>
        <sz val="8"/>
        <rFont val="Arial"/>
        <family val="2"/>
      </rPr>
      <t>-2</t>
    </r>
    <r>
      <rPr>
        <sz val="8"/>
        <rFont val="Arial"/>
        <family val="2"/>
      </rPr>
      <t>)</t>
    </r>
  </si>
  <si>
    <r>
      <t>A</t>
    </r>
    <r>
      <rPr>
        <vertAlign val="subscript"/>
        <sz val="8"/>
        <rFont val="Arial"/>
        <family val="2"/>
      </rPr>
      <t>mun</t>
    </r>
  </si>
  <si>
    <r>
      <t>F</t>
    </r>
    <r>
      <rPr>
        <vertAlign val="subscript"/>
        <sz val="8"/>
        <rFont val="Arial"/>
        <family val="2"/>
      </rPr>
      <t>dw</t>
    </r>
  </si>
  <si>
    <r>
      <t>Y</t>
    </r>
    <r>
      <rPr>
        <vertAlign val="subscript"/>
        <sz val="8"/>
        <rFont val="Arial"/>
        <family val="2"/>
      </rPr>
      <t>fish</t>
    </r>
  </si>
  <si>
    <t>Cs-134</t>
  </si>
  <si>
    <t>Zn-65</t>
  </si>
  <si>
    <r>
      <t>F</t>
    </r>
    <r>
      <rPr>
        <vertAlign val="subscript"/>
        <sz val="8"/>
        <rFont val="Arial"/>
        <family val="2"/>
      </rPr>
      <t>local</t>
    </r>
  </si>
  <si>
    <r>
      <t>F</t>
    </r>
    <r>
      <rPr>
        <vertAlign val="subscript"/>
        <sz val="8"/>
        <rFont val="Arial"/>
        <family val="2"/>
      </rPr>
      <t>geom</t>
    </r>
  </si>
  <si>
    <r>
      <t>F</t>
    </r>
    <r>
      <rPr>
        <vertAlign val="subscript"/>
        <sz val="8"/>
        <rFont val="Arial"/>
        <family val="2"/>
      </rPr>
      <t>spray,small,r</t>
    </r>
  </si>
  <si>
    <r>
      <t>F</t>
    </r>
    <r>
      <rPr>
        <vertAlign val="subscript"/>
        <sz val="8"/>
        <rFont val="Arial"/>
        <family val="2"/>
      </rPr>
      <t>spray,large,r</t>
    </r>
  </si>
  <si>
    <r>
      <t>S</t>
    </r>
    <r>
      <rPr>
        <b/>
        <vertAlign val="subscript"/>
        <sz val="8"/>
        <rFont val="Arial"/>
        <family val="2"/>
      </rPr>
      <t>E(ing,irr),Africa</t>
    </r>
  </si>
  <si>
    <r>
      <t>S</t>
    </r>
    <r>
      <rPr>
        <b/>
        <vertAlign val="subscript"/>
        <sz val="8"/>
        <rFont val="Arial"/>
        <family val="2"/>
      </rPr>
      <t>E(ing,fish)</t>
    </r>
  </si>
  <si>
    <r>
      <t>S</t>
    </r>
    <r>
      <rPr>
        <b/>
        <vertAlign val="subscript"/>
        <sz val="8"/>
        <rFont val="Arial"/>
        <family val="2"/>
      </rPr>
      <t>E(water)</t>
    </r>
  </si>
  <si>
    <r>
      <t>S</t>
    </r>
    <r>
      <rPr>
        <b/>
        <vertAlign val="subscript"/>
        <sz val="8"/>
        <rFont val="Arial"/>
        <family val="2"/>
      </rPr>
      <t>E(fw),Africa</t>
    </r>
  </si>
  <si>
    <r>
      <t>S</t>
    </r>
    <r>
      <rPr>
        <b/>
        <vertAlign val="subscript"/>
        <sz val="8"/>
        <rFont val="Arial"/>
        <family val="2"/>
      </rPr>
      <t>E(fw),AsiaPac</t>
    </r>
  </si>
  <si>
    <r>
      <t>S</t>
    </r>
    <r>
      <rPr>
        <b/>
        <vertAlign val="subscript"/>
        <sz val="8"/>
        <rFont val="Arial"/>
        <family val="2"/>
      </rPr>
      <t>E(ing,irr),AsiaPac</t>
    </r>
  </si>
  <si>
    <r>
      <t>S</t>
    </r>
    <r>
      <rPr>
        <b/>
        <vertAlign val="subscript"/>
        <sz val="8"/>
        <rFont val="Arial"/>
        <family val="2"/>
      </rPr>
      <t>E(ing,irr),Europe</t>
    </r>
  </si>
  <si>
    <r>
      <t>S</t>
    </r>
    <r>
      <rPr>
        <b/>
        <vertAlign val="subscript"/>
        <sz val="8"/>
        <rFont val="Arial"/>
        <family val="2"/>
      </rPr>
      <t>E(fw),Europe</t>
    </r>
  </si>
  <si>
    <r>
      <t>S</t>
    </r>
    <r>
      <rPr>
        <b/>
        <vertAlign val="subscript"/>
        <sz val="8"/>
        <rFont val="Arial"/>
        <family val="2"/>
      </rPr>
      <t>E(fw),Lamerica</t>
    </r>
  </si>
  <si>
    <r>
      <t>S</t>
    </r>
    <r>
      <rPr>
        <b/>
        <vertAlign val="subscript"/>
        <sz val="8"/>
        <rFont val="Arial"/>
        <family val="2"/>
      </rPr>
      <t>E(ing,irr),Lamerica</t>
    </r>
  </si>
  <si>
    <r>
      <t>S</t>
    </r>
    <r>
      <rPr>
        <b/>
        <vertAlign val="subscript"/>
        <sz val="8"/>
        <rFont val="Arial"/>
        <family val="2"/>
      </rPr>
      <t>E(ing,irr),Namerica</t>
    </r>
  </si>
  <si>
    <r>
      <t>S</t>
    </r>
    <r>
      <rPr>
        <b/>
        <vertAlign val="subscript"/>
        <sz val="8"/>
        <rFont val="Arial"/>
        <family val="2"/>
      </rPr>
      <t>E(fw),Namerica</t>
    </r>
  </si>
  <si>
    <r>
      <t>S</t>
    </r>
    <r>
      <rPr>
        <b/>
        <vertAlign val="subscript"/>
        <sz val="8"/>
        <rFont val="Arial"/>
        <family val="2"/>
      </rPr>
      <t>E(fw),Wasia</t>
    </r>
  </si>
  <si>
    <r>
      <t>S</t>
    </r>
    <r>
      <rPr>
        <b/>
        <vertAlign val="subscript"/>
        <sz val="8"/>
        <rFont val="Arial"/>
        <family val="2"/>
      </rPr>
      <t>E(ing,irr),Wasia</t>
    </r>
  </si>
  <si>
    <r>
      <t>H</t>
    </r>
    <r>
      <rPr>
        <b/>
        <vertAlign val="subscript"/>
        <sz val="8"/>
        <rFont val="Arial"/>
        <family val="2"/>
      </rPr>
      <t>E(ing,irr),cereal,Africa</t>
    </r>
  </si>
  <si>
    <r>
      <t>H</t>
    </r>
    <r>
      <rPr>
        <b/>
        <vertAlign val="subscript"/>
        <sz val="8"/>
        <rFont val="Arial"/>
        <family val="2"/>
      </rPr>
      <t>E(ing,irr),veg,Africa</t>
    </r>
  </si>
  <si>
    <r>
      <t>H</t>
    </r>
    <r>
      <rPr>
        <b/>
        <vertAlign val="subscript"/>
        <sz val="8"/>
        <rFont val="Arial"/>
        <family val="2"/>
      </rPr>
      <t>E(ing,irr),Africa</t>
    </r>
  </si>
  <si>
    <r>
      <t>H</t>
    </r>
    <r>
      <rPr>
        <b/>
        <vertAlign val="subscript"/>
        <sz val="8"/>
        <rFont val="Arial"/>
        <family val="2"/>
      </rPr>
      <t>E(ing,fish),Africa</t>
    </r>
  </si>
  <si>
    <r>
      <t>H</t>
    </r>
    <r>
      <rPr>
        <b/>
        <vertAlign val="subscript"/>
        <sz val="8"/>
        <rFont val="Arial"/>
        <family val="2"/>
      </rPr>
      <t>E(water)</t>
    </r>
  </si>
  <si>
    <r>
      <t>H</t>
    </r>
    <r>
      <rPr>
        <b/>
        <vertAlign val="subscript"/>
        <sz val="8"/>
        <rFont val="Arial"/>
        <family val="2"/>
      </rPr>
      <t>E(ex,riverbank)</t>
    </r>
  </si>
  <si>
    <r>
      <t>H</t>
    </r>
    <r>
      <rPr>
        <b/>
        <vertAlign val="subscript"/>
        <sz val="8"/>
        <rFont val="Arial"/>
        <family val="2"/>
      </rPr>
      <t>E(fw),Africa</t>
    </r>
  </si>
  <si>
    <r>
      <t>H</t>
    </r>
    <r>
      <rPr>
        <b/>
        <vertAlign val="subscript"/>
        <sz val="8"/>
        <rFont val="Arial"/>
        <family val="2"/>
      </rPr>
      <t>E(fw),AsiaPac</t>
    </r>
  </si>
  <si>
    <r>
      <t>H</t>
    </r>
    <r>
      <rPr>
        <b/>
        <vertAlign val="subscript"/>
        <sz val="8"/>
        <rFont val="Arial"/>
        <family val="2"/>
      </rPr>
      <t>E(ing,fish),AsiaPac</t>
    </r>
  </si>
  <si>
    <r>
      <t>H</t>
    </r>
    <r>
      <rPr>
        <b/>
        <vertAlign val="subscript"/>
        <sz val="8"/>
        <rFont val="Arial"/>
        <family val="2"/>
      </rPr>
      <t>E(ing,irr),AsiaPac</t>
    </r>
  </si>
  <si>
    <r>
      <t>H</t>
    </r>
    <r>
      <rPr>
        <b/>
        <vertAlign val="subscript"/>
        <sz val="8"/>
        <rFont val="Arial"/>
        <family val="2"/>
      </rPr>
      <t>E(ing,irr),veg,AsiaPac</t>
    </r>
  </si>
  <si>
    <r>
      <t>H</t>
    </r>
    <r>
      <rPr>
        <b/>
        <vertAlign val="subscript"/>
        <sz val="8"/>
        <rFont val="Arial"/>
        <family val="2"/>
      </rPr>
      <t>E(ing,irr),cereal,AsiaPac</t>
    </r>
  </si>
  <si>
    <r>
      <t>H</t>
    </r>
    <r>
      <rPr>
        <b/>
        <vertAlign val="subscript"/>
        <sz val="8"/>
        <rFont val="Arial"/>
        <family val="2"/>
      </rPr>
      <t>E(ing,irr),veg,Europe</t>
    </r>
  </si>
  <si>
    <r>
      <t>H</t>
    </r>
    <r>
      <rPr>
        <b/>
        <vertAlign val="subscript"/>
        <sz val="8"/>
        <rFont val="Arial"/>
        <family val="2"/>
      </rPr>
      <t>E(ing,irr),Europe</t>
    </r>
  </si>
  <si>
    <r>
      <t>H</t>
    </r>
    <r>
      <rPr>
        <b/>
        <vertAlign val="subscript"/>
        <sz val="8"/>
        <rFont val="Arial"/>
        <family val="2"/>
      </rPr>
      <t>E(ing,fish),Europe</t>
    </r>
  </si>
  <si>
    <r>
      <t>H</t>
    </r>
    <r>
      <rPr>
        <b/>
        <vertAlign val="subscript"/>
        <sz val="8"/>
        <rFont val="Arial"/>
        <family val="2"/>
      </rPr>
      <t>E(fw),Europe</t>
    </r>
  </si>
  <si>
    <r>
      <t>H</t>
    </r>
    <r>
      <rPr>
        <b/>
        <vertAlign val="subscript"/>
        <sz val="8"/>
        <rFont val="Arial"/>
        <family val="2"/>
      </rPr>
      <t>E(fw),Lamerica</t>
    </r>
  </si>
  <si>
    <r>
      <t>H</t>
    </r>
    <r>
      <rPr>
        <b/>
        <vertAlign val="subscript"/>
        <sz val="8"/>
        <rFont val="Arial"/>
        <family val="2"/>
      </rPr>
      <t>E(ing,fish),Lamerica</t>
    </r>
  </si>
  <si>
    <r>
      <t>H</t>
    </r>
    <r>
      <rPr>
        <b/>
        <vertAlign val="subscript"/>
        <sz val="8"/>
        <rFont val="Arial"/>
        <family val="2"/>
      </rPr>
      <t>E(ing,irr),Lamerica</t>
    </r>
  </si>
  <si>
    <r>
      <t>H</t>
    </r>
    <r>
      <rPr>
        <b/>
        <vertAlign val="subscript"/>
        <sz val="8"/>
        <rFont val="Arial"/>
        <family val="2"/>
      </rPr>
      <t>E(ing,irr),veg,Lamerica</t>
    </r>
  </si>
  <si>
    <r>
      <t>H</t>
    </r>
    <r>
      <rPr>
        <b/>
        <vertAlign val="subscript"/>
        <sz val="8"/>
        <rFont val="Arial"/>
        <family val="2"/>
      </rPr>
      <t>E(ing,irr),cereal,Lamerica</t>
    </r>
  </si>
  <si>
    <r>
      <t>H</t>
    </r>
    <r>
      <rPr>
        <b/>
        <vertAlign val="subscript"/>
        <sz val="8"/>
        <rFont val="Arial"/>
        <family val="2"/>
      </rPr>
      <t>E(ing,irr),cereal,Namerica</t>
    </r>
  </si>
  <si>
    <r>
      <t>H</t>
    </r>
    <r>
      <rPr>
        <b/>
        <vertAlign val="subscript"/>
        <sz val="8"/>
        <rFont val="Arial"/>
        <family val="2"/>
      </rPr>
      <t>E(ing,irr),veg,Namerica</t>
    </r>
  </si>
  <si>
    <r>
      <t>H</t>
    </r>
    <r>
      <rPr>
        <b/>
        <vertAlign val="subscript"/>
        <sz val="8"/>
        <rFont val="Arial"/>
        <family val="2"/>
      </rPr>
      <t>E(ing,irr),Namerica</t>
    </r>
  </si>
  <si>
    <r>
      <t>H</t>
    </r>
    <r>
      <rPr>
        <b/>
        <vertAlign val="subscript"/>
        <sz val="8"/>
        <rFont val="Arial"/>
        <family val="2"/>
      </rPr>
      <t>E(ing,fish),Namerica</t>
    </r>
  </si>
  <si>
    <r>
      <t>H</t>
    </r>
    <r>
      <rPr>
        <b/>
        <vertAlign val="subscript"/>
        <sz val="8"/>
        <rFont val="Arial"/>
        <family val="2"/>
      </rPr>
      <t>E(fw),Namerica</t>
    </r>
  </si>
  <si>
    <r>
      <t>H</t>
    </r>
    <r>
      <rPr>
        <b/>
        <vertAlign val="subscript"/>
        <sz val="8"/>
        <rFont val="Arial"/>
        <family val="2"/>
      </rPr>
      <t>E(fw),Wasia</t>
    </r>
  </si>
  <si>
    <r>
      <t>H</t>
    </r>
    <r>
      <rPr>
        <b/>
        <vertAlign val="subscript"/>
        <sz val="8"/>
        <rFont val="Arial"/>
        <family val="2"/>
      </rPr>
      <t>E(ing,fish),Wasia</t>
    </r>
  </si>
  <si>
    <r>
      <t>H</t>
    </r>
    <r>
      <rPr>
        <b/>
        <vertAlign val="subscript"/>
        <sz val="8"/>
        <rFont val="Arial"/>
        <family val="2"/>
      </rPr>
      <t>E(ing,irr),Wasia</t>
    </r>
  </si>
  <si>
    <r>
      <t>H</t>
    </r>
    <r>
      <rPr>
        <b/>
        <vertAlign val="subscript"/>
        <sz val="8"/>
        <rFont val="Arial"/>
        <family val="2"/>
      </rPr>
      <t>E(ing,irr),veg,Wasia</t>
    </r>
  </si>
  <si>
    <r>
      <t>H</t>
    </r>
    <r>
      <rPr>
        <b/>
        <vertAlign val="subscript"/>
        <sz val="8"/>
        <rFont val="Arial"/>
        <family val="2"/>
      </rPr>
      <t>E(ing,irr),cereal,Wasia</t>
    </r>
  </si>
  <si>
    <r>
      <t>D</t>
    </r>
    <r>
      <rPr>
        <b/>
        <vertAlign val="subscript"/>
        <sz val="8"/>
        <rFont val="Arial"/>
        <family val="2"/>
      </rPr>
      <t>ex,deposit</t>
    </r>
  </si>
  <si>
    <r>
      <t>D</t>
    </r>
    <r>
      <rPr>
        <b/>
        <vertAlign val="subscript"/>
        <sz val="8"/>
        <rFont val="Arial"/>
        <family val="2"/>
      </rPr>
      <t>ing</t>
    </r>
  </si>
  <si>
    <r>
      <t>C</t>
    </r>
    <r>
      <rPr>
        <b/>
        <vertAlign val="subscript"/>
        <sz val="8"/>
        <rFont val="Arial"/>
        <family val="2"/>
      </rPr>
      <t>cereal,unit</t>
    </r>
  </si>
  <si>
    <r>
      <t>C</t>
    </r>
    <r>
      <rPr>
        <b/>
        <vertAlign val="subscript"/>
        <sz val="8"/>
        <rFont val="Arial"/>
        <family val="2"/>
      </rPr>
      <t>veg,unit</t>
    </r>
  </si>
  <si>
    <r>
      <t>F</t>
    </r>
    <r>
      <rPr>
        <b/>
        <vertAlign val="subscript"/>
        <sz val="8"/>
        <rFont val="Arial"/>
        <family val="2"/>
      </rPr>
      <t>WT</t>
    </r>
  </si>
  <si>
    <r>
      <t>K</t>
    </r>
    <r>
      <rPr>
        <b/>
        <vertAlign val="subscript"/>
        <sz val="8"/>
        <rFont val="Arial"/>
        <family val="2"/>
      </rPr>
      <t>d</t>
    </r>
  </si>
  <si>
    <r>
      <t>C</t>
    </r>
    <r>
      <rPr>
        <b/>
        <vertAlign val="subscript"/>
        <sz val="8"/>
        <rFont val="Arial"/>
        <family val="2"/>
      </rPr>
      <t>sed,small</t>
    </r>
  </si>
  <si>
    <r>
      <t>C</t>
    </r>
    <r>
      <rPr>
        <b/>
        <vertAlign val="subscript"/>
        <sz val="8"/>
        <rFont val="Arial"/>
        <family val="2"/>
      </rPr>
      <t>sed,large</t>
    </r>
  </si>
  <si>
    <t>Co-58</t>
  </si>
  <si>
    <t>Mn-54</t>
  </si>
  <si>
    <r>
      <t>B</t>
    </r>
    <r>
      <rPr>
        <b/>
        <vertAlign val="subscript"/>
        <sz val="8"/>
        <rFont val="Arial"/>
        <family val="2"/>
      </rPr>
      <t>fish</t>
    </r>
  </si>
  <si>
    <t>I-131</t>
  </si>
  <si>
    <t>S-35</t>
  </si>
  <si>
    <t>2.0</t>
  </si>
  <si>
    <t>Released for UNSCEAR 63rd Session.</t>
  </si>
  <si>
    <t>Notes</t>
  </si>
  <si>
    <t>The designations employed and the presentation of material in this publication do not imply the expression of any opinion whatsoever on the part of the Secretariat of the United Nations concerning the legal status of any country, territory, city or area, or of its authorities, or concerning the delimitation of its frontiers or boundaries.</t>
  </si>
  <si>
    <t>United Nations Scientific Committee on the Effects of Atomic Radiation</t>
  </si>
  <si>
    <t>UNSCEAR 2016 Report, Annex A</t>
  </si>
  <si>
    <t>Methodology for estimating public exposures due to radioactive discharges</t>
  </si>
  <si>
    <t>Information on uniform resource locators and links to Internet sites contained in the present publication are provided for the convenience of the reader and are correct at the time of approval by the Committee. The United Nations takes no responsibility for the continued accuracy of that information or for the content of any external website.</t>
  </si>
  <si>
    <r>
      <rPr>
        <sz val="12"/>
        <color theme="1"/>
        <rFont val="Symbol"/>
        <family val="1"/>
        <charset val="2"/>
      </rPr>
      <t>Ó</t>
    </r>
    <r>
      <rPr>
        <sz val="12"/>
        <color theme="1"/>
        <rFont val="Times New Roman"/>
        <family val="1"/>
      </rPr>
      <t xml:space="preserve"> United Nations, May 2018. All rights reserved, worldwide.</t>
    </r>
  </si>
  <si>
    <t>This publication has not been formally edited.</t>
  </si>
  <si>
    <t>ELECTRONIC ATTACHMENT 5 (Workbook: Freshwater)</t>
  </si>
  <si>
    <t>World average</t>
  </si>
  <si>
    <t>Calculations for regional components of collective dose</t>
  </si>
  <si>
    <r>
      <t xml:space="preserve">Yield of </t>
    </r>
    <r>
      <rPr>
        <vertAlign val="superscript"/>
        <sz val="8"/>
        <rFont val="Arial"/>
        <family val="2"/>
      </rPr>
      <t>137m</t>
    </r>
    <r>
      <rPr>
        <sz val="8"/>
        <rFont val="Arial"/>
        <family val="2"/>
      </rPr>
      <t>Ba</t>
    </r>
  </si>
  <si>
    <t>3.0</t>
  </si>
  <si>
    <t>Malcolm Crick</t>
  </si>
  <si>
    <r>
      <t xml:space="preserve">This workbook calculates the </t>
    </r>
    <r>
      <rPr>
        <b/>
        <sz val="8"/>
        <rFont val="Arial"/>
        <family val="2"/>
      </rPr>
      <t>dose by pathway per unit discharge</t>
    </r>
    <r>
      <rPr>
        <sz val="8"/>
        <rFont val="Arial"/>
        <family val="2"/>
      </rPr>
      <t xml:space="preserve"> into fresh water.  It starts by calculating concentration in river water for two river sizes, and thence activity concentration in freshwater fish , deposition rates for irrigation and activity concentrations in irrigated, terrestrial foods.  It also calculates collective doses from specified pathways.</t>
    </r>
  </si>
  <si>
    <t>Estimation of public exposures due to radioactive discharges to fresh water</t>
  </si>
  <si>
    <t>Other parameters and their values</t>
  </si>
  <si>
    <t>Intermediate calculations</t>
  </si>
  <si>
    <t>Intermediate calcs</t>
  </si>
  <si>
    <t>Released for publication to UNSCEAR website</t>
  </si>
  <si>
    <r>
      <t>Individual doses from freshwater pathways per unit discharge (Sv y</t>
    </r>
    <r>
      <rPr>
        <b/>
        <vertAlign val="superscript"/>
        <sz val="12"/>
        <rFont val="Arial"/>
        <family val="2"/>
      </rPr>
      <t>-1</t>
    </r>
    <r>
      <rPr>
        <b/>
        <sz val="12"/>
        <rFont val="Arial"/>
        <family val="2"/>
      </rPr>
      <t xml:space="preserve"> Bq</t>
    </r>
    <r>
      <rPr>
        <b/>
        <vertAlign val="superscript"/>
        <sz val="12"/>
        <rFont val="Arial"/>
        <family val="2"/>
      </rPr>
      <t>-1</t>
    </r>
    <r>
      <rPr>
        <b/>
        <sz val="12"/>
        <rFont val="Arial"/>
        <family val="2"/>
      </rPr>
      <t xml:space="preserve"> s)</t>
    </r>
  </si>
  <si>
    <r>
      <t>Collective doses from freshwater pathways per unit discharge (manSv y</t>
    </r>
    <r>
      <rPr>
        <b/>
        <vertAlign val="superscript"/>
        <sz val="12"/>
        <rFont val="Arial"/>
        <family val="2"/>
      </rPr>
      <t>-1</t>
    </r>
    <r>
      <rPr>
        <b/>
        <sz val="12"/>
        <rFont val="Arial"/>
        <family val="2"/>
      </rPr>
      <t xml:space="preserve"> Bq</t>
    </r>
    <r>
      <rPr>
        <b/>
        <vertAlign val="superscript"/>
        <sz val="12"/>
        <rFont val="Arial"/>
        <family val="2"/>
      </rPr>
      <t>-1</t>
    </r>
    <r>
      <rPr>
        <b/>
        <sz val="12"/>
        <rFont val="Arial"/>
        <family val="2"/>
      </rPr>
      <t xml:space="preserve"> s)</t>
    </r>
  </si>
  <si>
    <t>Note</t>
  </si>
  <si>
    <r>
      <rPr>
        <b/>
        <sz val="8"/>
        <rFont val="Arial"/>
        <family val="2"/>
      </rPr>
      <t>Note on progeny for riverbank occupancy</t>
    </r>
    <r>
      <rPr>
        <sz val="8"/>
        <rFont val="Arial"/>
        <family val="2"/>
      </rPr>
      <t xml:space="preserve">  Most progeny are assumed to be in secular equilibrium with their parent in riverbank sediment, and the equilibrium activity has been calculated on the </t>
    </r>
    <r>
      <rPr>
        <i/>
        <sz val="8"/>
        <rFont val="Arial"/>
        <family val="2"/>
      </rPr>
      <t>Intermediate calcs</t>
    </r>
    <r>
      <rPr>
        <sz val="8"/>
        <rFont val="Arial"/>
        <family val="2"/>
      </rPr>
      <t xml:space="preserve"> worksheet.  The exceptions are </t>
    </r>
    <r>
      <rPr>
        <vertAlign val="superscript"/>
        <sz val="8"/>
        <rFont val="Arial"/>
        <family val="2"/>
      </rPr>
      <t>222</t>
    </r>
    <r>
      <rPr>
        <sz val="8"/>
        <rFont val="Arial"/>
        <family val="2"/>
      </rPr>
      <t xml:space="preserve">Rn (assumed to not be in riverbank sediment) and </t>
    </r>
    <r>
      <rPr>
        <vertAlign val="superscript"/>
        <sz val="8"/>
        <rFont val="Arial"/>
        <family val="2"/>
      </rPr>
      <t>238</t>
    </r>
    <r>
      <rPr>
        <sz val="8"/>
        <rFont val="Arial"/>
        <family val="2"/>
      </rPr>
      <t>Pu (assumed to be present at about 1/30th of the parent's concentration).</t>
    </r>
  </si>
  <si>
    <t>Worksheet</t>
  </si>
  <si>
    <r>
      <t xml:space="preserve">This worksheet. Includes an outline description of the workbook's purpose (above), version control (below) and a list of the contents (this list). Note that the </t>
    </r>
    <r>
      <rPr>
        <i/>
        <sz val="8"/>
        <rFont val="Arial"/>
        <family val="2"/>
      </rPr>
      <t>Worksheet</t>
    </r>
    <r>
      <rPr>
        <sz val="8"/>
        <rFont val="Arial"/>
        <family val="2"/>
      </rPr>
      <t xml:space="preserve"> column has hyperlinks to the relevant worksheet: click the link once to go to the selected worksheet.</t>
    </r>
  </si>
  <si>
    <t>Other parameters including some habit data and food consumption rates by geographical region</t>
  </si>
  <si>
    <t>Calculations for individual doses from all pathways for each geographical region</t>
  </si>
  <si>
    <t>Intemediate calculations including activity concentrations in water, in aquatic foods, and irrigated crops</t>
  </si>
  <si>
    <t>Fraction of year for which irrigation occurs</t>
  </si>
  <si>
    <t>Fractional water content of fish</t>
  </si>
  <si>
    <t>Water equivalent factor for fish</t>
  </si>
  <si>
    <t>Partition factor for fish</t>
  </si>
  <si>
    <t>Amount of water ingested in one year</t>
  </si>
  <si>
    <t>Fraction of individual water intake from river</t>
  </si>
  <si>
    <t>Density of riverbank sediment</t>
  </si>
  <si>
    <t>Thickness of riverbank sediment</t>
  </si>
  <si>
    <t>River bank occupancy</t>
  </si>
  <si>
    <t>Fractional water content of cereal</t>
  </si>
  <si>
    <t>Fractional water content of vegetables</t>
  </si>
  <si>
    <r>
      <t>Ratio of HTO vapour pressure to H</t>
    </r>
    <r>
      <rPr>
        <vertAlign val="subscript"/>
        <sz val="8"/>
        <rFont val="Arial"/>
        <family val="2"/>
      </rPr>
      <t>2</t>
    </r>
    <r>
      <rPr>
        <sz val="8"/>
        <rFont val="Arial"/>
        <family val="2"/>
      </rPr>
      <t>O vapour pressure</t>
    </r>
  </si>
  <si>
    <t>Partition factor for plants</t>
  </si>
  <si>
    <t>Water equivalent factor for cereal</t>
  </si>
  <si>
    <t>Water equivalent factor for vegetables</t>
  </si>
  <si>
    <t>Canopy dilution factor (cereals)</t>
  </si>
  <si>
    <t>Canopy dilution factor (vegetables)</t>
  </si>
  <si>
    <t>Average production rate of carbon by decomposition of crop residues</t>
  </si>
  <si>
    <t>Concentration of stable carbon in cereals</t>
  </si>
  <si>
    <t>Concentration of stable carbon in vegetables</t>
  </si>
  <si>
    <t>Abstraction fraction for municipal water</t>
  </si>
  <si>
    <t>Fraction of municipal water that is drunk</t>
  </si>
  <si>
    <t>Fraction of food locally produced</t>
  </si>
  <si>
    <t>Geometry factor for river banks for external dose coefficients</t>
  </si>
  <si>
    <t>Region-specific data</t>
  </si>
  <si>
    <t>UNEP region:</t>
  </si>
  <si>
    <t>Citations in square brackets refer to the references on pages 127-135 of annex A</t>
  </si>
  <si>
    <t>[E2]</t>
  </si>
  <si>
    <t>[I14]</t>
  </si>
  <si>
    <t>Output from [S8]</t>
  </si>
  <si>
    <t>[B7]</t>
  </si>
  <si>
    <t>[I2]</t>
  </si>
  <si>
    <t>[I5]</t>
  </si>
  <si>
    <t>[N2]</t>
  </si>
  <si>
    <t>[K1]</t>
  </si>
  <si>
    <t>[S3]</t>
  </si>
  <si>
    <t>[B4]</t>
  </si>
  <si>
    <t>b</t>
  </si>
  <si>
    <t>a</t>
  </si>
  <si>
    <t>[U6]</t>
  </si>
  <si>
    <t>[I4]</t>
  </si>
  <si>
    <t>[F2]</t>
  </si>
  <si>
    <t>[O1]</t>
  </si>
  <si>
    <t>[U12]</t>
  </si>
  <si>
    <t>[A2]</t>
  </si>
  <si>
    <t>[I9]</t>
  </si>
  <si>
    <t>see table A2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</si>
</sst>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E+00;\-0.0E+00;0"/>
    <numFmt numFmtId="165" formatCode="0.00E+00;\-00.0E+00;0"/>
    <numFmt numFmtId="166" formatCode="0.0"/>
    <numFmt numFmtId="167" formatCode="0.0E+00"/>
    <numFmt numFmtId="168" formatCode="0E+00;\-0E+00;0"/>
    <numFmt numFmtId="169" formatCode="0E+00"/>
    <numFmt numFmtId="170" formatCode="0.00E+00;\-0.00E+00;0"/>
    <numFmt numFmtId="171" formatCode="0.0E+00;\-0.0E+00;0.0"/>
  </numFmts>
  <fonts count="43">
    <font>
      <sz val="8"/>
      <name val="Arial"/>
    </font>
    <font>
      <b/>
      <sz val="12"/>
      <name val="Arial"/>
      <family val="2"/>
    </font>
    <font>
      <b/>
      <sz val="10"/>
      <name val="Arial"/>
      <family val="2"/>
    </font>
    <font>
      <b/>
      <sz val="8"/>
      <name val="Arial"/>
      <family val="2"/>
    </font>
    <font>
      <i/>
      <sz val="8"/>
      <name val="Arial"/>
      <family val="2"/>
    </font>
    <font>
      <sz val="8"/>
      <name val="Arial"/>
      <family val="2"/>
    </font>
    <font>
      <u/>
      <sz val="8"/>
      <color indexed="12"/>
      <name val="Arial"/>
      <family val="2"/>
    </font>
    <font>
      <b/>
      <vertAlign val="superscript"/>
      <sz val="8"/>
      <name val="Arial"/>
      <family val="2"/>
    </font>
    <font>
      <b/>
      <vertAlign val="subscript"/>
      <sz val="8"/>
      <name val="Arial"/>
      <family val="2"/>
    </font>
    <font>
      <sz val="10"/>
      <name val="Arial"/>
      <family val="2"/>
    </font>
    <font>
      <sz val="8"/>
      <name val="Helvetica (PCL6)"/>
    </font>
    <font>
      <sz val="11"/>
      <color theme="1"/>
      <name val="Calibri"/>
      <family val="2"/>
      <scheme val="minor"/>
    </font>
    <font>
      <vertAlign val="subscript"/>
      <sz val="8"/>
      <name val="Arial"/>
      <family val="2"/>
    </font>
    <font>
      <vertAlign val="superscript"/>
      <sz val="8"/>
      <name val="Arial"/>
      <family val="2"/>
    </font>
    <font>
      <sz val="8.5"/>
      <name val="Myriad Pro"/>
      <family val="2"/>
    </font>
    <font>
      <sz val="8"/>
      <name val="Symbol"/>
      <family val="1"/>
      <charset val="2"/>
    </font>
    <font>
      <b/>
      <vertAlign val="superscript"/>
      <sz val="12"/>
      <name val="Arial"/>
      <family val="2"/>
    </font>
    <font>
      <sz val="10"/>
      <name val="Arial"/>
      <family val="2"/>
    </font>
    <font>
      <b/>
      <sz val="15"/>
      <color theme="3"/>
      <name val="Arial"/>
      <family val="2"/>
    </font>
    <font>
      <b/>
      <sz val="13"/>
      <color theme="3"/>
      <name val="Arial"/>
      <family val="2"/>
    </font>
    <font>
      <b/>
      <sz val="11"/>
      <color theme="3"/>
      <name val="Arial"/>
      <family val="2"/>
    </font>
    <font>
      <sz val="8"/>
      <color theme="1"/>
      <name val="Arial"/>
      <family val="2"/>
    </font>
    <font>
      <sz val="20"/>
      <color theme="1"/>
      <name val="Times New Roman"/>
      <family val="1"/>
    </font>
    <font>
      <sz val="12"/>
      <color theme="1"/>
      <name val="Times New Roman"/>
      <family val="1"/>
    </font>
    <font>
      <sz val="14"/>
      <color theme="1"/>
      <name val="Times New Roman"/>
      <family val="1"/>
    </font>
    <font>
      <b/>
      <sz val="12"/>
      <color theme="1"/>
      <name val="Arial"/>
      <family val="2"/>
    </font>
    <font>
      <sz val="8"/>
      <color theme="0"/>
      <name val="Arial"/>
      <family val="2"/>
    </font>
    <font>
      <sz val="8"/>
      <color rgb="FF9C0006"/>
      <name val="Arial"/>
      <family val="2"/>
    </font>
    <font>
      <b/>
      <sz val="8"/>
      <color rgb="FFFA7D00"/>
      <name val="Arial"/>
      <family val="2"/>
    </font>
    <font>
      <b/>
      <sz val="8"/>
      <color theme="0"/>
      <name val="Arial"/>
      <family val="2"/>
    </font>
    <font>
      <i/>
      <sz val="8"/>
      <color rgb="FF7F7F7F"/>
      <name val="Arial"/>
      <family val="2"/>
    </font>
    <font>
      <sz val="8"/>
      <color rgb="FF006100"/>
      <name val="Arial"/>
      <family val="2"/>
    </font>
    <font>
      <u/>
      <sz val="11"/>
      <color theme="10"/>
      <name val="Calibri"/>
      <family val="2"/>
    </font>
    <font>
      <sz val="8"/>
      <color rgb="FF3F3F76"/>
      <name val="Arial"/>
      <family val="2"/>
    </font>
    <font>
      <sz val="8"/>
      <color rgb="FFFA7D00"/>
      <name val="Arial"/>
      <family val="2"/>
    </font>
    <font>
      <sz val="8"/>
      <color rgb="FF9C6500"/>
      <name val="Arial"/>
      <family val="2"/>
    </font>
    <font>
      <b/>
      <sz val="8"/>
      <color rgb="FF3F3F3F"/>
      <name val="Arial"/>
      <family val="2"/>
    </font>
    <font>
      <b/>
      <sz val="8"/>
      <color theme="1"/>
      <name val="Arial"/>
      <family val="2"/>
    </font>
    <font>
      <sz val="8"/>
      <color rgb="FFFF0000"/>
      <name val="Arial"/>
      <family val="2"/>
    </font>
    <font>
      <b/>
      <sz val="14"/>
      <color theme="1"/>
      <name val="Times New Roman"/>
      <family val="1"/>
    </font>
    <font>
      <b/>
      <sz val="18"/>
      <color theme="1"/>
      <name val="Times New Roman"/>
      <family val="1"/>
    </font>
    <font>
      <sz val="12"/>
      <color theme="1"/>
      <name val="Times New Roman"/>
      <family val="1"/>
      <charset val="2"/>
    </font>
    <font>
      <sz val="12"/>
      <color theme="1"/>
      <name val="Symbol"/>
      <family val="1"/>
      <charset val="2"/>
    </font>
  </fonts>
  <fills count="39">
    <fill>
      <patternFill patternType="none"/>
    </fill>
    <fill>
      <patternFill patternType="gray125"/>
    </fill>
    <fill>
      <patternFill patternType="solid">
        <fgColor indexed="5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75">
    <xf numFmtId="0" fontId="0" fillId="0" borderId="0">
      <alignment vertical="top"/>
    </xf>
    <xf numFmtId="0" fontId="6" fillId="0" borderId="0" applyNumberFormat="0" applyFill="0" applyBorder="0" applyAlignment="0" applyProtection="0">
      <alignment vertical="top"/>
      <protection locked="0"/>
    </xf>
    <xf numFmtId="0" fontId="5" fillId="0" borderId="0">
      <alignment vertical="top"/>
    </xf>
    <xf numFmtId="0" fontId="5" fillId="0" borderId="0"/>
    <xf numFmtId="0" fontId="9" fillId="0" borderId="0"/>
    <xf numFmtId="0" fontId="11" fillId="0" borderId="0"/>
    <xf numFmtId="0" fontId="10" fillId="0" borderId="0"/>
    <xf numFmtId="0" fontId="5" fillId="0" borderId="0">
      <alignment vertical="top"/>
    </xf>
    <xf numFmtId="0" fontId="5" fillId="0" borderId="0">
      <alignment vertical="top"/>
    </xf>
    <xf numFmtId="0" fontId="17" fillId="0" borderId="0"/>
    <xf numFmtId="0" fontId="21" fillId="0" borderId="0"/>
    <xf numFmtId="0" fontId="11" fillId="16"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8" borderId="0" applyNumberFormat="0" applyBorder="0" applyAlignment="0" applyProtection="0"/>
    <xf numFmtId="0" fontId="11" fillId="28" borderId="0" applyNumberFormat="0" applyBorder="0" applyAlignment="0" applyProtection="0"/>
    <xf numFmtId="0" fontId="1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11" fillId="28" borderId="0" applyNumberFormat="0" applyBorder="0" applyAlignment="0" applyProtection="0"/>
    <xf numFmtId="0" fontId="11" fillId="28"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21" fillId="36" borderId="0" applyNumberFormat="0" applyBorder="0" applyAlignment="0" applyProtection="0"/>
    <xf numFmtId="0" fontId="21" fillId="36" borderId="0" applyNumberFormat="0" applyBorder="0" applyAlignment="0" applyProtection="0"/>
    <xf numFmtId="0" fontId="2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21" fillId="37" borderId="0" applyNumberFormat="0" applyBorder="0" applyAlignment="0" applyProtection="0"/>
    <xf numFmtId="0" fontId="21" fillId="37" borderId="0" applyNumberFormat="0" applyBorder="0" applyAlignment="0" applyProtection="0"/>
    <xf numFmtId="0" fontId="2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26" fillId="18" borderId="0" applyNumberFormat="0" applyBorder="0" applyAlignment="0" applyProtection="0"/>
    <xf numFmtId="0" fontId="26" fillId="22" borderId="0" applyNumberFormat="0" applyBorder="0" applyAlignment="0" applyProtection="0"/>
    <xf numFmtId="0" fontId="26" fillId="26" borderId="0" applyNumberFormat="0" applyBorder="0" applyAlignment="0" applyProtection="0"/>
    <xf numFmtId="0" fontId="26" fillId="30" borderId="0" applyNumberFormat="0" applyBorder="0" applyAlignment="0" applyProtection="0"/>
    <xf numFmtId="0" fontId="26" fillId="34" borderId="0" applyNumberFormat="0" applyBorder="0" applyAlignment="0" applyProtection="0"/>
    <xf numFmtId="0" fontId="26" fillId="38" borderId="0" applyNumberFormat="0" applyBorder="0" applyAlignment="0" applyProtection="0"/>
    <xf numFmtId="0" fontId="26" fillId="15" borderId="0" applyNumberFormat="0" applyBorder="0" applyAlignment="0" applyProtection="0"/>
    <xf numFmtId="0" fontId="26" fillId="19" borderId="0" applyNumberFormat="0" applyBorder="0" applyAlignment="0" applyProtection="0"/>
    <xf numFmtId="0" fontId="26" fillId="23" borderId="0" applyNumberFormat="0" applyBorder="0" applyAlignment="0" applyProtection="0"/>
    <xf numFmtId="0" fontId="26" fillId="27" borderId="0" applyNumberFormat="0" applyBorder="0" applyAlignment="0" applyProtection="0"/>
    <xf numFmtId="0" fontId="26" fillId="31" borderId="0" applyNumberFormat="0" applyBorder="0" applyAlignment="0" applyProtection="0"/>
    <xf numFmtId="0" fontId="26" fillId="35" borderId="0" applyNumberFormat="0" applyBorder="0" applyAlignment="0" applyProtection="0"/>
    <xf numFmtId="0" fontId="27" fillId="9" borderId="0" applyNumberFormat="0" applyBorder="0" applyAlignment="0" applyProtection="0"/>
    <xf numFmtId="0" fontId="28" fillId="12" borderId="4" applyNumberFormat="0" applyAlignment="0" applyProtection="0"/>
    <xf numFmtId="0" fontId="29" fillId="13" borderId="7" applyNumberFormat="0" applyAlignment="0" applyProtection="0"/>
    <xf numFmtId="0" fontId="30" fillId="0" borderId="0" applyNumberFormat="0" applyFill="0" applyBorder="0" applyAlignment="0" applyProtection="0"/>
    <xf numFmtId="0" fontId="31" fillId="8" borderId="0" applyNumberFormat="0" applyBorder="0" applyAlignment="0" applyProtection="0"/>
    <xf numFmtId="0" fontId="18" fillId="0" borderId="1" applyNumberFormat="0" applyFill="0" applyAlignment="0" applyProtection="0"/>
    <xf numFmtId="0" fontId="19" fillId="0" borderId="2" applyNumberFormat="0" applyFill="0" applyAlignment="0" applyProtection="0"/>
    <xf numFmtId="0" fontId="20" fillId="0" borderId="3" applyNumberFormat="0" applyFill="0" applyAlignment="0" applyProtection="0"/>
    <xf numFmtId="0" fontId="20" fillId="0" borderId="0" applyNumberFormat="0" applyFill="0" applyBorder="0" applyAlignment="0" applyProtection="0"/>
    <xf numFmtId="0" fontId="32"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3" fillId="11" borderId="4" applyNumberFormat="0" applyAlignment="0" applyProtection="0"/>
    <xf numFmtId="0" fontId="34" fillId="0" borderId="6" applyNumberFormat="0" applyFill="0" applyAlignment="0" applyProtection="0"/>
    <xf numFmtId="0" fontId="35" fillId="10" borderId="0" applyNumberFormat="0" applyBorder="0" applyAlignment="0" applyProtection="0"/>
    <xf numFmtId="0" fontId="5" fillId="0" borderId="0">
      <alignment vertical="top"/>
    </xf>
    <xf numFmtId="0" fontId="5" fillId="0" borderId="0">
      <alignment vertical="top"/>
    </xf>
    <xf numFmtId="0" fontId="11" fillId="0" borderId="0"/>
    <xf numFmtId="0" fontId="5" fillId="0" borderId="0">
      <alignment vertical="top"/>
    </xf>
    <xf numFmtId="0" fontId="5" fillId="0" borderId="0">
      <alignment vertical="top"/>
    </xf>
    <xf numFmtId="0" fontId="11" fillId="0" borderId="0"/>
    <xf numFmtId="0" fontId="21" fillId="0" borderId="0"/>
    <xf numFmtId="0" fontId="21" fillId="0" borderId="0"/>
    <xf numFmtId="0" fontId="21" fillId="0" borderId="0"/>
    <xf numFmtId="0" fontId="21" fillId="0" borderId="0"/>
    <xf numFmtId="0" fontId="21" fillId="0" borderId="0"/>
    <xf numFmtId="0" fontId="5" fillId="0" borderId="0"/>
    <xf numFmtId="0" fontId="21" fillId="0" borderId="0"/>
    <xf numFmtId="0" fontId="2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alignment vertical="top"/>
    </xf>
    <xf numFmtId="0" fontId="11" fillId="0" borderId="0"/>
    <xf numFmtId="0" fontId="11" fillId="0" borderId="0"/>
    <xf numFmtId="0" fontId="21" fillId="0" borderId="0"/>
    <xf numFmtId="0" fontId="21" fillId="0" borderId="0"/>
    <xf numFmtId="0" fontId="21" fillId="0" borderId="0"/>
    <xf numFmtId="0" fontId="11" fillId="0" borderId="0"/>
    <xf numFmtId="0" fontId="11" fillId="0" borderId="0"/>
    <xf numFmtId="0" fontId="11" fillId="0" borderId="0"/>
    <xf numFmtId="0" fontId="11" fillId="14" borderId="8" applyNumberFormat="0" applyFont="0" applyAlignment="0" applyProtection="0"/>
    <xf numFmtId="0" fontId="11" fillId="14" borderId="8" applyNumberFormat="0" applyFont="0" applyAlignment="0" applyProtection="0"/>
    <xf numFmtId="0" fontId="11" fillId="14" borderId="8" applyNumberFormat="0" applyFont="0" applyAlignment="0" applyProtection="0"/>
    <xf numFmtId="0" fontId="11" fillId="14" borderId="8" applyNumberFormat="0" applyFont="0" applyAlignment="0" applyProtection="0"/>
    <xf numFmtId="0" fontId="11" fillId="14" borderId="8" applyNumberFormat="0" applyFont="0" applyAlignment="0" applyProtection="0"/>
    <xf numFmtId="0" fontId="11" fillId="14" borderId="8" applyNumberFormat="0" applyFont="0" applyAlignment="0" applyProtection="0"/>
    <xf numFmtId="0" fontId="21" fillId="14" borderId="8" applyNumberFormat="0" applyFont="0" applyAlignment="0" applyProtection="0"/>
    <xf numFmtId="0" fontId="21" fillId="14" borderId="8" applyNumberFormat="0" applyFont="0" applyAlignment="0" applyProtection="0"/>
    <xf numFmtId="0" fontId="21" fillId="14" borderId="8" applyNumberFormat="0" applyFont="0" applyAlignment="0" applyProtection="0"/>
    <xf numFmtId="0" fontId="36" fillId="12" borderId="5" applyNumberFormat="0" applyAlignment="0" applyProtection="0"/>
    <xf numFmtId="0" fontId="37" fillId="0" borderId="9" applyNumberFormat="0" applyFill="0" applyAlignment="0" applyProtection="0"/>
    <xf numFmtId="0" fontId="38" fillId="0" borderId="0" applyNumberFormat="0" applyFill="0" applyBorder="0" applyAlignment="0" applyProtection="0"/>
  </cellStyleXfs>
  <cellXfs count="135">
    <xf numFmtId="0" fontId="0" fillId="0" borderId="0" xfId="0">
      <alignment vertical="top"/>
    </xf>
    <xf numFmtId="0" fontId="1" fillId="0" borderId="0" xfId="0" applyFont="1">
      <alignment vertical="top"/>
    </xf>
    <xf numFmtId="0" fontId="0" fillId="0" borderId="0" xfId="0" applyFill="1">
      <alignment vertical="top"/>
    </xf>
    <xf numFmtId="0" fontId="6" fillId="0" borderId="0" xfId="1" applyProtection="1">
      <alignment vertical="top"/>
    </xf>
    <xf numFmtId="0" fontId="5" fillId="0" borderId="0" xfId="0" applyFont="1" applyFill="1" applyBorder="1" applyAlignment="1">
      <alignment vertical="top" wrapText="1"/>
    </xf>
    <xf numFmtId="0" fontId="1" fillId="0" borderId="0" xfId="2" applyFont="1" applyBorder="1">
      <alignment vertical="top"/>
    </xf>
    <xf numFmtId="0" fontId="5" fillId="0" borderId="0" xfId="2" applyBorder="1">
      <alignment vertical="top"/>
    </xf>
    <xf numFmtId="0" fontId="6" fillId="0" borderId="0" xfId="1" applyBorder="1" applyProtection="1">
      <alignment vertical="top"/>
    </xf>
    <xf numFmtId="0" fontId="2" fillId="2" borderId="0" xfId="2" applyFont="1" applyFill="1" applyBorder="1">
      <alignment vertical="top"/>
    </xf>
    <xf numFmtId="0" fontId="3" fillId="0" borderId="0" xfId="2" applyFont="1" applyBorder="1" applyAlignment="1">
      <alignment horizontal="center" vertical="top" wrapText="1"/>
    </xf>
    <xf numFmtId="0" fontId="3" fillId="0" borderId="0" xfId="2" applyFont="1" applyBorder="1" applyAlignment="1">
      <alignment vertical="top" wrapText="1"/>
    </xf>
    <xf numFmtId="0" fontId="5" fillId="0" borderId="0" xfId="2" applyFont="1" applyBorder="1" applyAlignment="1">
      <alignment vertical="top" wrapText="1"/>
    </xf>
    <xf numFmtId="0" fontId="5" fillId="0" borderId="0" xfId="3"/>
    <xf numFmtId="164" fontId="5" fillId="0" borderId="0" xfId="4" applyNumberFormat="1" applyFont="1" applyFill="1" applyBorder="1" applyAlignment="1">
      <alignment horizontal="right" vertical="top"/>
    </xf>
    <xf numFmtId="0" fontId="5" fillId="0" borderId="0" xfId="3" applyFont="1"/>
    <xf numFmtId="0" fontId="5" fillId="0" borderId="0" xfId="2" applyFont="1" applyFill="1" applyBorder="1" applyAlignment="1">
      <alignment vertical="top" wrapText="1"/>
    </xf>
    <xf numFmtId="0" fontId="5" fillId="0" borderId="0" xfId="3" applyFont="1" applyFill="1"/>
    <xf numFmtId="0" fontId="5" fillId="0" borderId="0" xfId="3" applyFill="1"/>
    <xf numFmtId="0" fontId="5" fillId="0" borderId="0" xfId="0" applyFont="1" applyFill="1" applyAlignment="1">
      <alignment vertical="top" wrapText="1"/>
    </xf>
    <xf numFmtId="0" fontId="0" fillId="0" borderId="0" xfId="0" applyFill="1" applyAlignment="1">
      <alignment vertical="top" wrapText="1"/>
    </xf>
    <xf numFmtId="0" fontId="0" fillId="3" borderId="0" xfId="0" applyFill="1" applyAlignment="1">
      <alignment vertical="top" wrapText="1"/>
    </xf>
    <xf numFmtId="0" fontId="6" fillId="4" borderId="0" xfId="1" applyFill="1" applyAlignment="1" applyProtection="1">
      <alignment horizontal="right" vertical="top"/>
    </xf>
    <xf numFmtId="0" fontId="5" fillId="4" borderId="0" xfId="0" applyFont="1" applyFill="1" applyAlignment="1">
      <alignment vertical="top" wrapText="1"/>
    </xf>
    <xf numFmtId="0" fontId="1" fillId="0" borderId="0" xfId="0" applyFont="1" applyFill="1">
      <alignment vertical="top"/>
    </xf>
    <xf numFmtId="0" fontId="3" fillId="0" borderId="0" xfId="0" applyFont="1" applyFill="1" applyAlignment="1">
      <alignment horizontal="right" vertical="top"/>
    </xf>
    <xf numFmtId="0" fontId="3" fillId="0" borderId="0" xfId="0" applyFont="1" applyFill="1" applyAlignment="1">
      <alignment horizontal="right"/>
    </xf>
    <xf numFmtId="0" fontId="3" fillId="0" borderId="0" xfId="0" applyFont="1" applyFill="1" applyAlignment="1">
      <alignment vertical="top" wrapText="1"/>
    </xf>
    <xf numFmtId="0" fontId="0" fillId="0" borderId="0" xfId="0" applyFill="1" applyAlignment="1">
      <alignment horizontal="right" vertical="top"/>
    </xf>
    <xf numFmtId="0" fontId="3" fillId="0" borderId="0" xfId="0" applyFont="1" applyFill="1">
      <alignment vertical="top"/>
    </xf>
    <xf numFmtId="14" fontId="0" fillId="0" borderId="0" xfId="0" applyNumberFormat="1" applyFill="1">
      <alignment vertical="top"/>
    </xf>
    <xf numFmtId="0" fontId="0" fillId="3" borderId="0" xfId="0" applyFill="1">
      <alignment vertical="top"/>
    </xf>
    <xf numFmtId="0" fontId="2" fillId="3" borderId="0" xfId="0" applyFont="1" applyFill="1" applyAlignment="1">
      <alignment vertical="top" wrapText="1"/>
    </xf>
    <xf numFmtId="0" fontId="2" fillId="3" borderId="0" xfId="0" applyFont="1" applyFill="1">
      <alignment vertical="top"/>
    </xf>
    <xf numFmtId="0" fontId="6" fillId="5" borderId="0" xfId="1" applyFill="1" applyAlignment="1" applyProtection="1">
      <alignment horizontal="right" vertical="top"/>
    </xf>
    <xf numFmtId="0" fontId="5" fillId="5" borderId="0" xfId="0" applyFont="1" applyFill="1" applyAlignment="1">
      <alignment vertical="top" wrapText="1"/>
    </xf>
    <xf numFmtId="0" fontId="1" fillId="0" borderId="0" xfId="7" applyFont="1">
      <alignment vertical="top"/>
    </xf>
    <xf numFmtId="0" fontId="5" fillId="0" borderId="0" xfId="7">
      <alignment vertical="top"/>
    </xf>
    <xf numFmtId="0" fontId="2" fillId="2" borderId="0" xfId="7" applyFont="1" applyFill="1">
      <alignment vertical="top"/>
    </xf>
    <xf numFmtId="11" fontId="5" fillId="0" borderId="0" xfId="7" applyNumberFormat="1">
      <alignment vertical="top"/>
    </xf>
    <xf numFmtId="164" fontId="0" fillId="0" borderId="0" xfId="0" applyNumberFormat="1">
      <alignment vertical="top"/>
    </xf>
    <xf numFmtId="0" fontId="5" fillId="6" borderId="0" xfId="0" applyFont="1" applyFill="1" applyAlignment="1">
      <alignment vertical="top" wrapText="1"/>
    </xf>
    <xf numFmtId="0" fontId="5" fillId="0" borderId="0" xfId="0" applyFont="1" applyFill="1" applyBorder="1">
      <alignment vertical="top"/>
    </xf>
    <xf numFmtId="0" fontId="5" fillId="0" borderId="0" xfId="0" applyFont="1" applyFill="1" applyBorder="1" applyAlignment="1">
      <alignment horizontal="center" vertical="top"/>
    </xf>
    <xf numFmtId="0" fontId="5" fillId="0" borderId="0" xfId="0" applyFont="1" applyFill="1" applyBorder="1" applyAlignment="1">
      <alignment horizontal="left" vertical="top"/>
    </xf>
    <xf numFmtId="0" fontId="2" fillId="2" borderId="0" xfId="0" applyFont="1" applyFill="1" applyAlignment="1">
      <alignment horizontal="left" vertical="top"/>
    </xf>
    <xf numFmtId="0" fontId="6" fillId="2" borderId="0" xfId="1" applyFill="1" applyProtection="1">
      <alignment vertical="top"/>
    </xf>
    <xf numFmtId="164" fontId="0" fillId="7" borderId="0" xfId="0" applyNumberFormat="1" applyFill="1">
      <alignment vertical="top"/>
    </xf>
    <xf numFmtId="164" fontId="0" fillId="0" borderId="0" xfId="0" applyNumberFormat="1" applyFill="1">
      <alignment vertical="top"/>
    </xf>
    <xf numFmtId="0" fontId="3" fillId="7" borderId="0" xfId="0" applyFont="1" applyFill="1" applyAlignment="1">
      <alignment horizontal="center" vertical="top" wrapText="1"/>
    </xf>
    <xf numFmtId="166" fontId="14" fillId="0" borderId="0" xfId="8" applyNumberFormat="1" applyFont="1" applyFill="1" applyBorder="1" applyAlignment="1">
      <alignment horizontal="center" vertical="top" wrapText="1"/>
    </xf>
    <xf numFmtId="167" fontId="5" fillId="0" borderId="0" xfId="7" applyNumberFormat="1">
      <alignment vertical="top"/>
    </xf>
    <xf numFmtId="0" fontId="3" fillId="0" borderId="0" xfId="2" applyFont="1" applyBorder="1">
      <alignment vertical="top"/>
    </xf>
    <xf numFmtId="164" fontId="5" fillId="0" borderId="0" xfId="4" quotePrefix="1" applyNumberFormat="1" applyFont="1" applyFill="1" applyBorder="1" applyAlignment="1">
      <alignment horizontal="right" vertical="top"/>
    </xf>
    <xf numFmtId="167" fontId="0" fillId="0" borderId="0" xfId="0" applyNumberFormat="1" applyAlignment="1"/>
    <xf numFmtId="2" fontId="5" fillId="0" borderId="0" xfId="7" applyNumberFormat="1">
      <alignment vertical="top"/>
    </xf>
    <xf numFmtId="169" fontId="5" fillId="0" borderId="0" xfId="7" applyNumberFormat="1">
      <alignment vertical="top"/>
    </xf>
    <xf numFmtId="165" fontId="5" fillId="0" borderId="0" xfId="2" applyNumberFormat="1" applyFont="1" applyFill="1" applyBorder="1" applyAlignment="1">
      <alignment horizontal="center" vertical="top" wrapText="1"/>
    </xf>
    <xf numFmtId="168" fontId="5" fillId="0" borderId="0" xfId="0" applyNumberFormat="1" applyFont="1" applyFill="1" applyBorder="1" applyAlignment="1">
      <alignment vertical="top" wrapText="1"/>
    </xf>
    <xf numFmtId="170" fontId="0" fillId="0" borderId="0" xfId="0" applyNumberFormat="1">
      <alignment vertical="top"/>
    </xf>
    <xf numFmtId="0" fontId="3" fillId="0" borderId="0" xfId="2" applyFont="1" applyFill="1" applyBorder="1" applyAlignment="1">
      <alignment horizontal="center" vertical="top"/>
    </xf>
    <xf numFmtId="0" fontId="3" fillId="0" borderId="0" xfId="2" applyFont="1" applyFill="1" applyBorder="1" applyAlignment="1">
      <alignment horizontal="center" vertical="top" wrapText="1"/>
    </xf>
    <xf numFmtId="164" fontId="5" fillId="0" borderId="0" xfId="2" applyNumberFormat="1" applyBorder="1">
      <alignment vertical="top"/>
    </xf>
    <xf numFmtId="164" fontId="5" fillId="0" borderId="0" xfId="2" applyNumberFormat="1" applyFont="1" applyFill="1" applyBorder="1" applyAlignment="1">
      <alignment vertical="top" wrapText="1"/>
    </xf>
    <xf numFmtId="11" fontId="0" fillId="0" borderId="0" xfId="0" applyNumberFormat="1" applyAlignment="1"/>
    <xf numFmtId="0" fontId="3" fillId="0" borderId="0" xfId="2" applyFont="1" applyFill="1" applyBorder="1" applyAlignment="1">
      <alignment horizontal="center" vertical="top" wrapText="1"/>
    </xf>
    <xf numFmtId="0" fontId="5" fillId="0" borderId="0" xfId="2" quotePrefix="1" applyBorder="1" applyAlignment="1">
      <alignment horizontal="right" vertical="top"/>
    </xf>
    <xf numFmtId="164" fontId="5" fillId="0" borderId="0" xfId="2" applyNumberFormat="1" applyFont="1" applyFill="1" applyBorder="1" applyAlignment="1">
      <alignment horizontal="center" vertical="top" wrapText="1"/>
    </xf>
    <xf numFmtId="164" fontId="5" fillId="0" borderId="0" xfId="0" applyNumberFormat="1" applyFont="1" applyFill="1" applyBorder="1" applyAlignment="1">
      <alignment vertical="top" wrapText="1"/>
    </xf>
    <xf numFmtId="164" fontId="0" fillId="0" borderId="0" xfId="4" quotePrefix="1" applyNumberFormat="1" applyFont="1" applyFill="1" applyBorder="1" applyAlignment="1">
      <alignment horizontal="right" vertical="top"/>
    </xf>
    <xf numFmtId="0" fontId="3" fillId="0" borderId="0" xfId="0" applyFont="1" applyFill="1" applyAlignment="1">
      <alignment horizontal="center" vertical="top"/>
    </xf>
    <xf numFmtId="0" fontId="3" fillId="7" borderId="0" xfId="0" applyFont="1" applyFill="1" applyAlignment="1">
      <alignment horizontal="center" vertical="top"/>
    </xf>
    <xf numFmtId="0" fontId="3" fillId="0" borderId="0" xfId="0" applyFont="1" applyFill="1" applyAlignment="1">
      <alignment horizontal="center" vertical="top" wrapText="1"/>
    </xf>
    <xf numFmtId="0" fontId="2" fillId="2" borderId="0" xfId="0" applyFont="1" applyFill="1" applyAlignment="1">
      <alignment horizontal="left" vertical="top" wrapText="1"/>
    </xf>
    <xf numFmtId="0" fontId="5" fillId="0" borderId="0" xfId="0" applyFont="1">
      <alignment vertical="top"/>
    </xf>
    <xf numFmtId="167" fontId="0" fillId="0" borderId="0" xfId="0" applyNumberFormat="1">
      <alignment vertical="top"/>
    </xf>
    <xf numFmtId="0" fontId="3" fillId="0" borderId="0" xfId="2" applyFont="1" applyFill="1" applyBorder="1" applyAlignment="1">
      <alignment horizontal="center" vertical="top" wrapText="1"/>
    </xf>
    <xf numFmtId="0" fontId="3" fillId="0" borderId="0" xfId="0" applyFont="1">
      <alignment vertical="top"/>
    </xf>
    <xf numFmtId="171" fontId="5" fillId="0" borderId="0" xfId="7" applyNumberFormat="1" applyFill="1">
      <alignment vertical="top"/>
    </xf>
    <xf numFmtId="0" fontId="3" fillId="0" borderId="0" xfId="2" applyFont="1" applyBorder="1" applyAlignment="1">
      <alignment horizontal="center" vertical="top" wrapText="1"/>
    </xf>
    <xf numFmtId="166" fontId="5" fillId="0" borderId="0" xfId="0" applyNumberFormat="1" applyFont="1" applyFill="1" applyBorder="1" applyAlignment="1">
      <alignment horizontal="center" vertical="top"/>
    </xf>
    <xf numFmtId="0" fontId="3" fillId="0" borderId="0" xfId="0" applyFont="1" applyFill="1" applyAlignment="1">
      <alignment horizontal="center" vertical="top" wrapText="1"/>
    </xf>
    <xf numFmtId="0" fontId="3" fillId="7" borderId="0" xfId="0"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center" vertical="top" wrapText="1"/>
    </xf>
    <xf numFmtId="0" fontId="3" fillId="7" borderId="0" xfId="0" applyFont="1" applyFill="1" applyAlignment="1">
      <alignment horizontal="center" vertical="top"/>
    </xf>
    <xf numFmtId="0" fontId="3" fillId="0" borderId="0" xfId="0" applyFont="1" applyFill="1" applyAlignment="1">
      <alignment horizontal="center" vertical="top"/>
    </xf>
    <xf numFmtId="166" fontId="5" fillId="0" borderId="0" xfId="7" applyNumberFormat="1">
      <alignment vertical="top"/>
    </xf>
    <xf numFmtId="166" fontId="0" fillId="0" borderId="0" xfId="0" applyNumberFormat="1" applyAlignment="1"/>
    <xf numFmtId="0" fontId="5" fillId="0" borderId="0" xfId="0" applyFont="1" applyFill="1" applyBorder="1" applyAlignment="1">
      <alignment vertical="top"/>
    </xf>
    <xf numFmtId="164" fontId="0" fillId="7" borderId="0" xfId="0" applyNumberFormat="1" applyFill="1" applyAlignment="1">
      <alignment vertical="top"/>
    </xf>
    <xf numFmtId="164" fontId="0" fillId="0" borderId="0" xfId="0" applyNumberFormat="1" applyFill="1" applyAlignment="1">
      <alignment vertical="top"/>
    </xf>
    <xf numFmtId="0" fontId="0" fillId="0" borderId="0" xfId="0" applyAlignment="1">
      <alignment vertical="top"/>
    </xf>
    <xf numFmtId="164" fontId="0" fillId="0" borderId="0" xfId="0" applyNumberFormat="1" applyAlignment="1">
      <alignment vertical="top"/>
    </xf>
    <xf numFmtId="167" fontId="0" fillId="0" borderId="0" xfId="0" applyNumberFormat="1" applyAlignment="1">
      <alignment vertical="top"/>
    </xf>
    <xf numFmtId="165" fontId="5" fillId="0" borderId="0" xfId="2" applyNumberFormat="1" applyFill="1" applyBorder="1" applyAlignment="1"/>
    <xf numFmtId="11" fontId="10" fillId="0" borderId="0" xfId="6" applyNumberFormat="1" applyAlignment="1"/>
    <xf numFmtId="164" fontId="5" fillId="0" borderId="0" xfId="4" applyNumberFormat="1" applyFont="1" applyFill="1" applyBorder="1" applyAlignment="1"/>
    <xf numFmtId="165" fontId="5" fillId="0" borderId="0" xfId="2" applyNumberFormat="1" applyFont="1" applyFill="1" applyBorder="1" applyAlignment="1">
      <alignment wrapText="1"/>
    </xf>
    <xf numFmtId="0" fontId="3" fillId="0" borderId="0" xfId="2" applyFont="1" applyFill="1" applyBorder="1" applyAlignment="1">
      <alignment horizontal="center" vertical="top" wrapText="1"/>
    </xf>
    <xf numFmtId="0" fontId="3" fillId="0" borderId="0" xfId="2" applyFont="1" applyFill="1" applyBorder="1" applyAlignment="1">
      <alignment horizontal="center" vertical="top" wrapText="1"/>
    </xf>
    <xf numFmtId="0" fontId="5" fillId="0" borderId="0" xfId="2" applyFill="1" applyBorder="1">
      <alignment vertical="top"/>
    </xf>
    <xf numFmtId="0" fontId="0" fillId="0" borderId="0" xfId="0" quotePrefix="1" applyFill="1">
      <alignment vertical="top"/>
    </xf>
    <xf numFmtId="0" fontId="21" fillId="0" borderId="0" xfId="10"/>
    <xf numFmtId="0" fontId="22" fillId="0" borderId="0" xfId="10" applyFont="1" applyAlignment="1">
      <alignment horizontal="left" vertical="center" wrapText="1"/>
    </xf>
    <xf numFmtId="0" fontId="25" fillId="0" borderId="0" xfId="10" applyFont="1" applyAlignment="1">
      <alignment horizontal="justify" vertical="center"/>
    </xf>
    <xf numFmtId="0" fontId="23" fillId="0" borderId="0" xfId="10" applyFont="1"/>
    <xf numFmtId="0" fontId="39" fillId="0" borderId="0" xfId="10" applyFont="1"/>
    <xf numFmtId="0" fontId="23" fillId="0" borderId="0" xfId="10" applyFont="1" applyBorder="1" applyAlignment="1">
      <alignment vertical="center" wrapText="1"/>
    </xf>
    <xf numFmtId="0" fontId="39" fillId="0" borderId="0" xfId="10" applyFont="1" applyBorder="1" applyAlignment="1"/>
    <xf numFmtId="0" fontId="24" fillId="0" borderId="0" xfId="10" applyFont="1" applyBorder="1" applyAlignment="1">
      <alignment vertical="center" wrapText="1"/>
    </xf>
    <xf numFmtId="0" fontId="41" fillId="0" borderId="0" xfId="10" applyFont="1"/>
    <xf numFmtId="0" fontId="2" fillId="0" borderId="0" xfId="2" applyFont="1" applyFill="1" applyBorder="1">
      <alignment vertical="top"/>
    </xf>
    <xf numFmtId="0" fontId="2" fillId="0" borderId="0" xfId="7" applyFont="1" applyFill="1">
      <alignment vertical="top"/>
    </xf>
    <xf numFmtId="0" fontId="2" fillId="0" borderId="0" xfId="0" applyFont="1" applyFill="1" applyAlignment="1">
      <alignment horizontal="left" vertical="top"/>
    </xf>
    <xf numFmtId="0" fontId="0" fillId="0" borderId="0" xfId="0" applyFill="1" applyAlignment="1">
      <alignment vertical="top"/>
    </xf>
    <xf numFmtId="0" fontId="2" fillId="0" borderId="0" xfId="0" applyFont="1" applyFill="1" applyAlignment="1">
      <alignment horizontal="left" vertical="top" wrapText="1"/>
    </xf>
    <xf numFmtId="0" fontId="6" fillId="0" borderId="0" xfId="1" applyAlignment="1" applyProtection="1">
      <alignment horizontal="right" vertical="top"/>
    </xf>
    <xf numFmtId="164" fontId="4" fillId="0" borderId="0" xfId="4" quotePrefix="1" applyNumberFormat="1" applyFont="1" applyFill="1" applyBorder="1" applyAlignment="1">
      <alignment horizontal="right" vertical="top"/>
    </xf>
    <xf numFmtId="0" fontId="4" fillId="0" borderId="0" xfId="2" quotePrefix="1" applyFont="1" applyFill="1" applyBorder="1" applyAlignment="1">
      <alignment horizontal="right" vertical="top" wrapText="1"/>
    </xf>
    <xf numFmtId="0" fontId="40" fillId="0" borderId="0" xfId="10" applyFont="1" applyAlignment="1">
      <alignment horizontal="center" vertical="center" wrapText="1"/>
    </xf>
    <xf numFmtId="0" fontId="23" fillId="0" borderId="0" xfId="10" applyFont="1" applyAlignment="1">
      <alignment horizontal="left" vertical="top" wrapText="1"/>
    </xf>
    <xf numFmtId="0" fontId="3" fillId="4" borderId="0" xfId="0" applyFont="1" applyFill="1" applyAlignment="1">
      <alignment horizontal="right" vertical="top" wrapText="1"/>
    </xf>
    <xf numFmtId="0" fontId="3" fillId="6" borderId="0" xfId="0" applyFont="1" applyFill="1" applyAlignment="1">
      <alignment horizontal="center" vertical="top" wrapText="1"/>
    </xf>
    <xf numFmtId="0" fontId="3" fillId="5" borderId="0" xfId="0" applyFont="1" applyFill="1" applyAlignment="1">
      <alignment horizontal="center" vertical="top" wrapText="1"/>
    </xf>
    <xf numFmtId="0" fontId="3" fillId="0" borderId="0" xfId="2" applyFont="1" applyFill="1" applyBorder="1" applyAlignment="1">
      <alignment horizontal="center" vertical="top"/>
    </xf>
    <xf numFmtId="0" fontId="3" fillId="0" borderId="0" xfId="2" applyFont="1" applyFill="1" applyBorder="1" applyAlignment="1">
      <alignment horizontal="center" vertical="top" wrapText="1"/>
    </xf>
    <xf numFmtId="0" fontId="3" fillId="0" borderId="0" xfId="2" applyFont="1" applyBorder="1" applyAlignment="1">
      <alignment horizontal="center" vertical="top" wrapText="1"/>
    </xf>
    <xf numFmtId="0" fontId="5" fillId="0" borderId="0" xfId="0" applyFont="1" applyFill="1" applyBorder="1" applyAlignment="1">
      <alignment horizontal="center" vertical="top" wrapText="1"/>
    </xf>
    <xf numFmtId="0" fontId="5" fillId="0" borderId="0" xfId="0" applyFont="1" applyFill="1" applyBorder="1" applyAlignment="1">
      <alignment horizontal="center" vertical="top"/>
    </xf>
    <xf numFmtId="0" fontId="3" fillId="0" borderId="0" xfId="0" applyFont="1" applyFill="1" applyAlignment="1">
      <alignment horizontal="center" vertical="top" wrapText="1"/>
    </xf>
    <xf numFmtId="0" fontId="3" fillId="0" borderId="0" xfId="0" applyFont="1" applyAlignment="1">
      <alignment horizontal="center" vertical="top" wrapText="1"/>
    </xf>
    <xf numFmtId="0" fontId="3" fillId="7" borderId="0" xfId="0" applyFont="1" applyFill="1" applyAlignment="1">
      <alignment horizontal="center" vertical="top"/>
    </xf>
    <xf numFmtId="0" fontId="3" fillId="0" borderId="0" xfId="0" applyFont="1" applyFill="1" applyAlignment="1">
      <alignment horizontal="center" vertical="top"/>
    </xf>
    <xf numFmtId="0" fontId="2" fillId="2" borderId="0" xfId="0" applyFont="1" applyFill="1" applyAlignment="1">
      <alignment horizontal="center" vertical="top"/>
    </xf>
    <xf numFmtId="0" fontId="2" fillId="2" borderId="0" xfId="0" applyFont="1" applyFill="1" applyAlignment="1">
      <alignment horizontal="center" vertical="top" wrapText="1"/>
    </xf>
  </cellXfs>
  <cellStyles count="175">
    <cellStyle name="20% - Accent1 2" xfId="11"/>
    <cellStyle name="20% - Accent1 2 2" xfId="12"/>
    <cellStyle name="20% - Accent1 2 3" xfId="13"/>
    <cellStyle name="20% - Accent1 3" xfId="14"/>
    <cellStyle name="20% - Accent1 3 2" xfId="15"/>
    <cellStyle name="20% - Accent1 3 3" xfId="16"/>
    <cellStyle name="20% - Accent1 4" xfId="17"/>
    <cellStyle name="20% - Accent1 5" xfId="18"/>
    <cellStyle name="20% - Accent2 2" xfId="19"/>
    <cellStyle name="20% - Accent2 2 2" xfId="20"/>
    <cellStyle name="20% - Accent2 2 3" xfId="21"/>
    <cellStyle name="20% - Accent2 3" xfId="22"/>
    <cellStyle name="20% - Accent2 3 2" xfId="23"/>
    <cellStyle name="20% - Accent2 3 3" xfId="24"/>
    <cellStyle name="20% - Accent2 4" xfId="25"/>
    <cellStyle name="20% - Accent2 5" xfId="26"/>
    <cellStyle name="20% - Accent3 2" xfId="27"/>
    <cellStyle name="20% - Accent3 2 2" xfId="28"/>
    <cellStyle name="20% - Accent3 2 3" xfId="29"/>
    <cellStyle name="20% - Accent3 3" xfId="30"/>
    <cellStyle name="20% - Accent3 3 2" xfId="31"/>
    <cellStyle name="20% - Accent3 3 3" xfId="32"/>
    <cellStyle name="20% - Accent3 4" xfId="33"/>
    <cellStyle name="20% - Accent3 5" xfId="34"/>
    <cellStyle name="20% - Accent4 2" xfId="35"/>
    <cellStyle name="20% - Accent4 2 2" xfId="36"/>
    <cellStyle name="20% - Accent4 2 3" xfId="37"/>
    <cellStyle name="20% - Accent4 3" xfId="38"/>
    <cellStyle name="20% - Accent4 3 2" xfId="39"/>
    <cellStyle name="20% - Accent4 3 3" xfId="40"/>
    <cellStyle name="20% - Accent4 4" xfId="41"/>
    <cellStyle name="20% - Accent4 5" xfId="42"/>
    <cellStyle name="20% - Accent5 2" xfId="43"/>
    <cellStyle name="20% - Accent5 2 2" xfId="44"/>
    <cellStyle name="20% - Accent5 2 3" xfId="45"/>
    <cellStyle name="20% - Accent5 3" xfId="46"/>
    <cellStyle name="20% - Accent5 3 2" xfId="47"/>
    <cellStyle name="20% - Accent5 3 3" xfId="48"/>
    <cellStyle name="20% - Accent5 4" xfId="49"/>
    <cellStyle name="20% - Accent5 5" xfId="50"/>
    <cellStyle name="20% - Accent6 2" xfId="51"/>
    <cellStyle name="20% - Accent6 2 2" xfId="52"/>
    <cellStyle name="20% - Accent6 2 3" xfId="53"/>
    <cellStyle name="20% - Accent6 3" xfId="54"/>
    <cellStyle name="20% - Accent6 3 2" xfId="55"/>
    <cellStyle name="20% - Accent6 3 3" xfId="56"/>
    <cellStyle name="20% - Accent6 4" xfId="57"/>
    <cellStyle name="20% - Accent6 5" xfId="58"/>
    <cellStyle name="40% - Accent1 2" xfId="59"/>
    <cellStyle name="40% - Accent1 2 2" xfId="60"/>
    <cellStyle name="40% - Accent1 2 3" xfId="61"/>
    <cellStyle name="40% - Accent1 3" xfId="62"/>
    <cellStyle name="40% - Accent1 3 2" xfId="63"/>
    <cellStyle name="40% - Accent1 3 3" xfId="64"/>
    <cellStyle name="40% - Accent1 4" xfId="65"/>
    <cellStyle name="40% - Accent1 5" xfId="66"/>
    <cellStyle name="40% - Accent2 2" xfId="67"/>
    <cellStyle name="40% - Accent2 2 2" xfId="68"/>
    <cellStyle name="40% - Accent2 2 3" xfId="69"/>
    <cellStyle name="40% - Accent2 3" xfId="70"/>
    <cellStyle name="40% - Accent2 3 2" xfId="71"/>
    <cellStyle name="40% - Accent2 3 3" xfId="72"/>
    <cellStyle name="40% - Accent2 4" xfId="73"/>
    <cellStyle name="40% - Accent2 5" xfId="74"/>
    <cellStyle name="40% - Accent3 2" xfId="75"/>
    <cellStyle name="40% - Accent3 2 2" xfId="76"/>
    <cellStyle name="40% - Accent3 2 3" xfId="77"/>
    <cellStyle name="40% - Accent3 3" xfId="78"/>
    <cellStyle name="40% - Accent3 3 2" xfId="79"/>
    <cellStyle name="40% - Accent3 3 3" xfId="80"/>
    <cellStyle name="40% - Accent3 4" xfId="81"/>
    <cellStyle name="40% - Accent3 5" xfId="82"/>
    <cellStyle name="40% - Accent4 2" xfId="83"/>
    <cellStyle name="40% - Accent4 2 2" xfId="84"/>
    <cellStyle name="40% - Accent4 2 3" xfId="85"/>
    <cellStyle name="40% - Accent4 3" xfId="86"/>
    <cellStyle name="40% - Accent4 3 2" xfId="87"/>
    <cellStyle name="40% - Accent4 3 3" xfId="88"/>
    <cellStyle name="40% - Accent4 4" xfId="89"/>
    <cellStyle name="40% - Accent4 5" xfId="90"/>
    <cellStyle name="40% - Accent5 2" xfId="91"/>
    <cellStyle name="40% - Accent5 2 2" xfId="92"/>
    <cellStyle name="40% - Accent5 2 3" xfId="93"/>
    <cellStyle name="40% - Accent5 3" xfId="94"/>
    <cellStyle name="40% - Accent5 3 2" xfId="95"/>
    <cellStyle name="40% - Accent5 3 3" xfId="96"/>
    <cellStyle name="40% - Accent5 4" xfId="97"/>
    <cellStyle name="40% - Accent5 5" xfId="98"/>
    <cellStyle name="40% - Accent6 2" xfId="99"/>
    <cellStyle name="40% - Accent6 2 2" xfId="100"/>
    <cellStyle name="40% - Accent6 2 3" xfId="101"/>
    <cellStyle name="40% - Accent6 3" xfId="102"/>
    <cellStyle name="40% - Accent6 3 2" xfId="103"/>
    <cellStyle name="40% - Accent6 3 3" xfId="104"/>
    <cellStyle name="40% - Accent6 4" xfId="105"/>
    <cellStyle name="40% - Accent6 5" xfId="106"/>
    <cellStyle name="60% - Accent1 2" xfId="107"/>
    <cellStyle name="60% - Accent2 2" xfId="108"/>
    <cellStyle name="60% - Accent3 2" xfId="109"/>
    <cellStyle name="60% - Accent4 2" xfId="110"/>
    <cellStyle name="60% - Accent5 2" xfId="111"/>
    <cellStyle name="60% - Accent6 2" xfId="112"/>
    <cellStyle name="Accent1 2" xfId="113"/>
    <cellStyle name="Accent2 2" xfId="114"/>
    <cellStyle name="Accent3 2" xfId="115"/>
    <cellStyle name="Accent4 2" xfId="116"/>
    <cellStyle name="Accent5 2" xfId="117"/>
    <cellStyle name="Accent6 2" xfId="118"/>
    <cellStyle name="Bad 2" xfId="119"/>
    <cellStyle name="Calculation 2" xfId="120"/>
    <cellStyle name="Check Cell 2" xfId="121"/>
    <cellStyle name="Explanatory Text 2" xfId="122"/>
    <cellStyle name="Good 2" xfId="123"/>
    <cellStyle name="Heading 1 2" xfId="124"/>
    <cellStyle name="Heading 2 2" xfId="125"/>
    <cellStyle name="Heading 3 2" xfId="126"/>
    <cellStyle name="Heading 4 2" xfId="127"/>
    <cellStyle name="Hyperlink" xfId="1" builtinId="8"/>
    <cellStyle name="Hyperlink 2" xfId="128"/>
    <cellStyle name="Hyperlink 3" xfId="129"/>
    <cellStyle name="Input 2" xfId="130"/>
    <cellStyle name="Linked Cell 2" xfId="131"/>
    <cellStyle name="Neutral 2" xfId="132"/>
    <cellStyle name="Normal" xfId="0" builtinId="0"/>
    <cellStyle name="Normal 10" xfId="133"/>
    <cellStyle name="Normal 10 2" xfId="134"/>
    <cellStyle name="Normal 11" xfId="135"/>
    <cellStyle name="Normal 12" xfId="136"/>
    <cellStyle name="Normal 12 2" xfId="137"/>
    <cellStyle name="Normal 13" xfId="138"/>
    <cellStyle name="Normal 14" xfId="10"/>
    <cellStyle name="Normal 2" xfId="3"/>
    <cellStyle name="Normal 2 2" xfId="9"/>
    <cellStyle name="Normal 2 2 2" xfId="139"/>
    <cellStyle name="Normal 2 2 3" xfId="140"/>
    <cellStyle name="Normal 2 3" xfId="141"/>
    <cellStyle name="Normal 2 3 2" xfId="142"/>
    <cellStyle name="Normal 2 3 3" xfId="143"/>
    <cellStyle name="Normal 2 4" xfId="144"/>
    <cellStyle name="Normal 2 5" xfId="145"/>
    <cellStyle name="Normal 2 6" xfId="146"/>
    <cellStyle name="Normal 3" xfId="5"/>
    <cellStyle name="Normal 3 2" xfId="147"/>
    <cellStyle name="Normal 3 3" xfId="148"/>
    <cellStyle name="Normal 4" xfId="6"/>
    <cellStyle name="Normal 5" xfId="149"/>
    <cellStyle name="Normal 5 2" xfId="150"/>
    <cellStyle name="Normal 5 3" xfId="151"/>
    <cellStyle name="Normal 6" xfId="8"/>
    <cellStyle name="Normal 6 2" xfId="152"/>
    <cellStyle name="Normal 6 3" xfId="153"/>
    <cellStyle name="Normal 7" xfId="154"/>
    <cellStyle name="Normal 7 2" xfId="155"/>
    <cellStyle name="Normal 7 3" xfId="156"/>
    <cellStyle name="Normal 8" xfId="157"/>
    <cellStyle name="Normal 8 2" xfId="158"/>
    <cellStyle name="Normal 8 3" xfId="159"/>
    <cellStyle name="Normal 9" xfId="160"/>
    <cellStyle name="Normal 9 2" xfId="161"/>
    <cellStyle name="Normal 9 3" xfId="162"/>
    <cellStyle name="Normal_ICRP DC" xfId="4"/>
    <cellStyle name="Normal_UNSCEAR collective atmospheric v0.f" xfId="2"/>
    <cellStyle name="Normal_UNSCEAR Dose pud - Atmospheric" xfId="7"/>
    <cellStyle name="Note 2" xfId="163"/>
    <cellStyle name="Note 2 2" xfId="164"/>
    <cellStyle name="Note 2 3" xfId="165"/>
    <cellStyle name="Note 3" xfId="166"/>
    <cellStyle name="Note 3 2" xfId="167"/>
    <cellStyle name="Note 3 3" xfId="168"/>
    <cellStyle name="Note 4" xfId="169"/>
    <cellStyle name="Note 4 2" xfId="170"/>
    <cellStyle name="Note 4 3" xfId="171"/>
    <cellStyle name="Output 2" xfId="172"/>
    <cellStyle name="Total 2" xfId="173"/>
    <cellStyle name="Warning Text 2" xfId="17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DCDC"/>
      <rgbColor rgb="00FFFFDC"/>
      <rgbColor rgb="00DCFFDC"/>
      <rgbColor rgb="00DCFFFF"/>
      <rgbColor rgb="00DCDCFF"/>
      <rgbColor rgb="00FFDCFF"/>
      <rgbColor rgb="00DCDCD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9CC00"/>
      <color rgb="FF11FF88"/>
      <color rgb="FF00CC66"/>
      <color rgb="FF00E271"/>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38100</xdr:rowOff>
    </xdr:from>
    <xdr:to>
      <xdr:col>1</xdr:col>
      <xdr:colOff>733425</xdr:colOff>
      <xdr:row>3</xdr:row>
      <xdr:rowOff>9525</xdr:rowOff>
    </xdr:to>
    <xdr:pic>
      <xdr:nvPicPr>
        <xdr:cNvPr id="2" name="Picture 1">
          <a:extLst>
            <a:ext uri="{FF2B5EF4-FFF2-40B4-BE49-F238E27FC236}">
              <a16:creationId xmlns:a16="http://schemas.microsoft.com/office/drawing/2014/main" id="{ED939075-5021-40A3-BB7D-2AF17337452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38100"/>
          <a:ext cx="67627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SCEAR%20Dose%20pud%20-%20Atmospheri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Status"/>
      <sheetName val="Radionuclides"/>
      <sheetName val="Other parameters"/>
      <sheetName val="Concentrations"/>
      <sheetName val="Ind dose in plume"/>
      <sheetName val="Ind dose deposit"/>
      <sheetName val="Ind dose food"/>
      <sheetName val="Total doses"/>
    </sheetNames>
    <sheetDataSet>
      <sheetData sheetId="0"/>
      <sheetData sheetId="1"/>
      <sheetData sheetId="2">
        <row r="9">
          <cell r="A9" t="str">
            <v>Ac-228</v>
          </cell>
          <cell r="B9" t="str">
            <v>Th-228</v>
          </cell>
          <cell r="C9" t="b">
            <v>1</v>
          </cell>
          <cell r="D9" t="b">
            <v>0</v>
          </cell>
          <cell r="E9" t="str">
            <v>-</v>
          </cell>
          <cell r="F9">
            <v>2.4999999999999999E-8</v>
          </cell>
          <cell r="G9">
            <v>4.0277777777777778E-14</v>
          </cell>
          <cell r="H9">
            <v>1.6622202013703573E-11</v>
          </cell>
          <cell r="I9">
            <v>4.3000000000000001E-10</v>
          </cell>
          <cell r="J9">
            <v>1.42</v>
          </cell>
          <cell r="K9">
            <v>2E-3</v>
          </cell>
          <cell r="L9">
            <v>0</v>
          </cell>
          <cell r="M9">
            <v>0</v>
          </cell>
          <cell r="N9">
            <v>0</v>
          </cell>
          <cell r="O9">
            <v>0</v>
          </cell>
          <cell r="P9">
            <v>3.1409605789375806E-5</v>
          </cell>
          <cell r="Q9" t="str">
            <v>[P2]</v>
          </cell>
          <cell r="R9" t="str">
            <v>[P2]</v>
          </cell>
        </row>
        <row r="10">
          <cell r="A10" t="str">
            <v>Am-241</v>
          </cell>
          <cell r="C10" t="b">
            <v>0</v>
          </cell>
          <cell r="D10" t="b">
            <v>0</v>
          </cell>
          <cell r="E10" t="str">
            <v>M</v>
          </cell>
          <cell r="F10">
            <v>4.1999999999999998E-5</v>
          </cell>
          <cell r="G10">
            <v>6.7400000000000001E-16</v>
          </cell>
          <cell r="H10">
            <v>7.922381699036944E-9</v>
          </cell>
          <cell r="I10">
            <v>1.9999999999999999E-7</v>
          </cell>
          <cell r="J10">
            <v>1.42</v>
          </cell>
          <cell r="K10">
            <v>2E-3</v>
          </cell>
          <cell r="L10">
            <v>14800</v>
          </cell>
          <cell r="M10">
            <v>114000</v>
          </cell>
          <cell r="N10">
            <v>84.7</v>
          </cell>
          <cell r="O10">
            <v>4690</v>
          </cell>
          <cell r="P10">
            <v>5.0855050693403004E-11</v>
          </cell>
          <cell r="Q10" t="str">
            <v>[E2]</v>
          </cell>
          <cell r="R10" t="str">
            <v>[P2]</v>
          </cell>
        </row>
        <row r="11">
          <cell r="A11" t="str">
            <v>Ar-41</v>
          </cell>
          <cell r="C11" t="b">
            <v>0</v>
          </cell>
          <cell r="D11" t="b">
            <v>1</v>
          </cell>
          <cell r="E11" t="str">
            <v>n/a</v>
          </cell>
          <cell r="F11">
            <v>0</v>
          </cell>
          <cell r="G11">
            <v>6.1944444444444443E-14</v>
          </cell>
          <cell r="H11">
            <v>0</v>
          </cell>
          <cell r="I11">
            <v>0</v>
          </cell>
          <cell r="J11">
            <v>1.2</v>
          </cell>
          <cell r="K11">
            <v>0</v>
          </cell>
          <cell r="L11">
            <v>0</v>
          </cell>
          <cell r="M11">
            <v>0</v>
          </cell>
          <cell r="N11">
            <v>0</v>
          </cell>
          <cell r="O11">
            <v>0</v>
          </cell>
          <cell r="P11">
            <v>1.0538636206287558E-4</v>
          </cell>
          <cell r="Q11" t="str">
            <v>[P2]</v>
          </cell>
        </row>
        <row r="12">
          <cell r="A12" t="str">
            <v>Ba-137m</v>
          </cell>
          <cell r="C12" t="b">
            <v>1</v>
          </cell>
          <cell r="D12" t="b">
            <v>0</v>
          </cell>
          <cell r="E12" t="str">
            <v>M</v>
          </cell>
          <cell r="F12">
            <v>0</v>
          </cell>
          <cell r="G12">
            <v>2.7083333333333336E-14</v>
          </cell>
          <cell r="H12">
            <v>1.6567779411559613E-7</v>
          </cell>
          <cell r="I12">
            <v>0</v>
          </cell>
          <cell r="J12">
            <v>1.42</v>
          </cell>
          <cell r="K12">
            <v>2E-3</v>
          </cell>
          <cell r="L12">
            <v>0.68</v>
          </cell>
          <cell r="M12">
            <v>13.3</v>
          </cell>
          <cell r="N12">
            <v>0.108</v>
          </cell>
          <cell r="O12">
            <v>2.34E-6</v>
          </cell>
          <cell r="P12">
            <v>4.5268232795189741E-3</v>
          </cell>
          <cell r="Q12" t="str">
            <v>[P2]</v>
          </cell>
          <cell r="R12" t="str">
            <v>[P2]</v>
          </cell>
        </row>
        <row r="13">
          <cell r="A13" t="str">
            <v>Bi-210</v>
          </cell>
          <cell r="C13" t="b">
            <v>1</v>
          </cell>
          <cell r="D13" t="b">
            <v>0</v>
          </cell>
          <cell r="E13" t="str">
            <v>-</v>
          </cell>
          <cell r="F13">
            <v>9.2999999999999999E-8</v>
          </cell>
          <cell r="G13">
            <v>2.58E-16</v>
          </cell>
          <cell r="H13">
            <v>2.1825905875859486E-11</v>
          </cell>
          <cell r="I13">
            <v>1.3000000000000001E-9</v>
          </cell>
          <cell r="J13">
            <v>1.42</v>
          </cell>
          <cell r="K13">
            <v>2E-3</v>
          </cell>
          <cell r="L13">
            <v>0</v>
          </cell>
          <cell r="M13">
            <v>0</v>
          </cell>
          <cell r="N13">
            <v>0</v>
          </cell>
          <cell r="O13">
            <v>0</v>
          </cell>
          <cell r="P13">
            <v>1.6006657645723072E-6</v>
          </cell>
          <cell r="Q13" t="str">
            <v>[E2]</v>
          </cell>
          <cell r="R13" t="str">
            <v>[E2]</v>
          </cell>
        </row>
        <row r="14">
          <cell r="A14" t="str">
            <v>Bi-214</v>
          </cell>
          <cell r="B14" t="str">
            <v>Po-214</v>
          </cell>
          <cell r="C14" t="b">
            <v>1</v>
          </cell>
          <cell r="D14" t="b">
            <v>0</v>
          </cell>
          <cell r="E14" t="str">
            <v>-</v>
          </cell>
          <cell r="F14">
            <v>1.4E-8</v>
          </cell>
          <cell r="G14">
            <v>7.1388888888888895E-14</v>
          </cell>
          <cell r="H14">
            <v>2.4804799018382064E-12</v>
          </cell>
          <cell r="I14">
            <v>1.0999999999999999E-10</v>
          </cell>
          <cell r="J14">
            <v>1.42</v>
          </cell>
          <cell r="K14">
            <v>2E-3</v>
          </cell>
          <cell r="L14">
            <v>5.43</v>
          </cell>
          <cell r="M14">
            <v>104</v>
          </cell>
          <cell r="N14">
            <v>1.42</v>
          </cell>
          <cell r="O14">
            <v>1.6500000000000001E-2</v>
          </cell>
          <cell r="P14">
            <v>5.8052527685087548E-4</v>
          </cell>
          <cell r="Q14" t="str">
            <v>[P2]</v>
          </cell>
          <cell r="R14" t="str">
            <v>[E2]</v>
          </cell>
        </row>
        <row r="15">
          <cell r="A15" t="str">
            <v>C-14</v>
          </cell>
          <cell r="C15" t="b">
            <v>0</v>
          </cell>
          <cell r="D15" t="b">
            <v>0</v>
          </cell>
          <cell r="E15" t="str">
            <v>M</v>
          </cell>
          <cell r="F15">
            <v>2.0000000000000001E-9</v>
          </cell>
          <cell r="G15">
            <v>2.6E-18</v>
          </cell>
          <cell r="H15">
            <v>0</v>
          </cell>
          <cell r="I15">
            <v>5.7999999999999996E-10</v>
          </cell>
          <cell r="J15">
            <v>1.4</v>
          </cell>
          <cell r="K15">
            <v>0</v>
          </cell>
          <cell r="L15" t="e">
            <v>#N/A</v>
          </cell>
          <cell r="M15" t="e">
            <v>#N/A</v>
          </cell>
          <cell r="N15" t="e">
            <v>#N/A</v>
          </cell>
          <cell r="O15" t="e">
            <v>#N/A</v>
          </cell>
          <cell r="P15">
            <v>3.8358731081481286E-12</v>
          </cell>
          <cell r="Q15" t="str">
            <v>[E2]</v>
          </cell>
        </row>
        <row r="16">
          <cell r="A16" t="str">
            <v>Co-58</v>
          </cell>
          <cell r="C16" t="b">
            <v>0</v>
          </cell>
          <cell r="D16" t="b">
            <v>0</v>
          </cell>
          <cell r="E16" t="str">
            <v>M</v>
          </cell>
          <cell r="F16">
            <v>1.6000000000000001E-9</v>
          </cell>
          <cell r="G16">
            <v>4.5000000000000004E-14</v>
          </cell>
          <cell r="H16">
            <v>4.9816884691907957E-9</v>
          </cell>
          <cell r="I16">
            <v>7.4000000000000003E-10</v>
          </cell>
          <cell r="J16">
            <v>1.42</v>
          </cell>
          <cell r="K16">
            <v>2E-3</v>
          </cell>
          <cell r="L16">
            <v>53200</v>
          </cell>
          <cell r="M16">
            <v>92600</v>
          </cell>
          <cell r="N16">
            <v>389000</v>
          </cell>
          <cell r="O16">
            <v>736000</v>
          </cell>
          <cell r="P16">
            <v>1.1331266683667237E-7</v>
          </cell>
          <cell r="Q16" t="str">
            <v>[P2]</v>
          </cell>
          <cell r="R16" t="str">
            <v>[P2]</v>
          </cell>
        </row>
        <row r="17">
          <cell r="A17" t="str">
            <v>Co-60</v>
          </cell>
          <cell r="C17" t="b">
            <v>0</v>
          </cell>
          <cell r="D17" t="b">
            <v>0</v>
          </cell>
          <cell r="E17" t="str">
            <v>M</v>
          </cell>
          <cell r="F17">
            <v>1E-8</v>
          </cell>
          <cell r="G17">
            <v>1.2055555555555555E-13</v>
          </cell>
          <cell r="H17">
            <v>2.0180243020479361E-7</v>
          </cell>
          <cell r="I17">
            <v>3.3999999999999998E-9</v>
          </cell>
          <cell r="J17">
            <v>1.42</v>
          </cell>
          <cell r="K17">
            <v>2E-3</v>
          </cell>
          <cell r="L17">
            <v>106000</v>
          </cell>
          <cell r="M17">
            <v>149000</v>
          </cell>
          <cell r="N17">
            <v>2280000</v>
          </cell>
          <cell r="O17">
            <v>13100000</v>
          </cell>
          <cell r="P17">
            <v>4.1699018990113409E-9</v>
          </cell>
          <cell r="Q17" t="str">
            <v>[P2]</v>
          </cell>
          <cell r="R17" t="str">
            <v>[P2]</v>
          </cell>
        </row>
        <row r="18">
          <cell r="A18" t="str">
            <v>Cs-134</v>
          </cell>
          <cell r="C18" t="b">
            <v>0</v>
          </cell>
          <cell r="D18" t="b">
            <v>0</v>
          </cell>
          <cell r="E18" t="str">
            <v>F</v>
          </cell>
          <cell r="F18">
            <v>6.6000000000000004E-9</v>
          </cell>
          <cell r="G18">
            <v>7.1388888888888895E-14</v>
          </cell>
          <cell r="H18">
            <v>6.2282481187886161E-8</v>
          </cell>
          <cell r="I18">
            <v>1.9000000000000001E-8</v>
          </cell>
          <cell r="J18">
            <v>1.42</v>
          </cell>
          <cell r="K18">
            <v>2E-3</v>
          </cell>
          <cell r="L18">
            <v>491000</v>
          </cell>
          <cell r="M18">
            <v>137000</v>
          </cell>
          <cell r="N18">
            <v>247000</v>
          </cell>
          <cell r="O18">
            <v>1230000</v>
          </cell>
          <cell r="P18">
            <v>1.0659337007608526E-8</v>
          </cell>
          <cell r="Q18" t="str">
            <v>[P2]</v>
          </cell>
          <cell r="R18" t="str">
            <v>[P2]</v>
          </cell>
        </row>
        <row r="19">
          <cell r="A19" t="str">
            <v>Cs-135</v>
          </cell>
          <cell r="C19" t="b">
            <v>1</v>
          </cell>
          <cell r="D19" t="b">
            <v>0</v>
          </cell>
          <cell r="E19" t="str">
            <v>F</v>
          </cell>
          <cell r="F19">
            <v>6.9E-10</v>
          </cell>
          <cell r="G19">
            <v>9.5000000000000003E-18</v>
          </cell>
          <cell r="H19">
            <v>2.3865093668230906E-11</v>
          </cell>
          <cell r="I19">
            <v>2.0000000000000001E-9</v>
          </cell>
          <cell r="J19">
            <v>1.42</v>
          </cell>
          <cell r="K19">
            <v>2E-3</v>
          </cell>
          <cell r="L19">
            <v>703000</v>
          </cell>
          <cell r="M19">
            <v>329000</v>
          </cell>
          <cell r="N19">
            <v>304000</v>
          </cell>
          <cell r="O19">
            <v>1560000</v>
          </cell>
          <cell r="P19">
            <v>9.5563273520385989E-15</v>
          </cell>
          <cell r="Q19" t="str">
            <v>[E2]</v>
          </cell>
          <cell r="R19" t="str">
            <v>[E2]</v>
          </cell>
        </row>
        <row r="20">
          <cell r="A20" t="str">
            <v>Cs-137</v>
          </cell>
          <cell r="B20" t="str">
            <v>Ba-137m</v>
          </cell>
          <cell r="C20" t="b">
            <v>0</v>
          </cell>
          <cell r="D20" t="b">
            <v>0</v>
          </cell>
          <cell r="E20" t="str">
            <v>F</v>
          </cell>
          <cell r="F20">
            <v>4.5999999999999998E-9</v>
          </cell>
          <cell r="G20">
            <v>9.2799999999999999E-17</v>
          </cell>
          <cell r="H20">
            <v>4.5717105594303588E-13</v>
          </cell>
          <cell r="I20">
            <v>1.3000000000000001E-8</v>
          </cell>
          <cell r="J20">
            <v>1.42</v>
          </cell>
          <cell r="K20">
            <v>2E-3</v>
          </cell>
          <cell r="L20">
            <v>589000</v>
          </cell>
          <cell r="M20">
            <v>219000</v>
          </cell>
          <cell r="N20">
            <v>298000</v>
          </cell>
          <cell r="O20">
            <v>1530000</v>
          </cell>
          <cell r="P20">
            <v>7.3265176365629261E-10</v>
          </cell>
          <cell r="Q20" t="str">
            <v>[E2]</v>
          </cell>
          <cell r="R20" t="str">
            <v>[P2]</v>
          </cell>
        </row>
        <row r="21">
          <cell r="A21" t="str">
            <v>Cs-138</v>
          </cell>
          <cell r="C21" t="b">
            <v>1</v>
          </cell>
          <cell r="D21" t="b">
            <v>0</v>
          </cell>
          <cell r="E21" t="str">
            <v>F</v>
          </cell>
          <cell r="F21">
            <v>2.4000000000000001E-11</v>
          </cell>
          <cell r="G21">
            <v>1.1527777777777778E-13</v>
          </cell>
          <cell r="H21">
            <v>3.8788925703453256E-12</v>
          </cell>
          <cell r="I21">
            <v>9.2000000000000005E-11</v>
          </cell>
          <cell r="J21">
            <v>1.42</v>
          </cell>
          <cell r="K21">
            <v>2E-3</v>
          </cell>
          <cell r="L21">
            <v>8.5299999999999994</v>
          </cell>
          <cell r="M21">
            <v>167</v>
          </cell>
          <cell r="N21">
            <v>1.26E-2</v>
          </cell>
          <cell r="O21">
            <v>1.32E-3</v>
          </cell>
          <cell r="P21">
            <v>3.5877183258796333E-4</v>
          </cell>
          <cell r="Q21" t="str">
            <v>[P2]</v>
          </cell>
          <cell r="R21" t="str">
            <v>[P2]</v>
          </cell>
        </row>
        <row r="22">
          <cell r="A22" t="str">
            <v>H-3</v>
          </cell>
          <cell r="C22" t="b">
            <v>0</v>
          </cell>
          <cell r="D22" t="b">
            <v>0</v>
          </cell>
          <cell r="E22" t="str">
            <v>M</v>
          </cell>
          <cell r="F22">
            <v>4.5E-11</v>
          </cell>
          <cell r="G22">
            <v>0</v>
          </cell>
          <cell r="H22">
            <v>0</v>
          </cell>
          <cell r="I22">
            <v>0</v>
          </cell>
          <cell r="J22">
            <v>1.2</v>
          </cell>
          <cell r="K22">
            <v>0</v>
          </cell>
          <cell r="L22">
            <v>0</v>
          </cell>
          <cell r="M22">
            <v>0</v>
          </cell>
          <cell r="N22">
            <v>0</v>
          </cell>
          <cell r="O22">
            <v>0</v>
          </cell>
          <cell r="P22">
            <v>1.7797208833756094E-9</v>
          </cell>
        </row>
        <row r="23">
          <cell r="A23" t="str">
            <v>H-3(HTO)</v>
          </cell>
          <cell r="C23" t="b">
            <v>0</v>
          </cell>
          <cell r="D23" t="b">
            <v>0</v>
          </cell>
          <cell r="E23" t="str">
            <v>M</v>
          </cell>
          <cell r="F23">
            <v>1.7999999999999999E-11</v>
          </cell>
          <cell r="G23">
            <v>0</v>
          </cell>
          <cell r="H23">
            <v>0</v>
          </cell>
          <cell r="I23">
            <v>1.7999999999999999E-11</v>
          </cell>
          <cell r="J23">
            <v>1.2</v>
          </cell>
          <cell r="K23">
            <v>0</v>
          </cell>
          <cell r="L23" t="e">
            <v>#N/A</v>
          </cell>
          <cell r="M23" t="e">
            <v>#N/A</v>
          </cell>
          <cell r="N23" t="e">
            <v>#N/A</v>
          </cell>
          <cell r="O23" t="e">
            <v>#N/A</v>
          </cell>
          <cell r="P23">
            <v>1.7797208833756094E-9</v>
          </cell>
        </row>
        <row r="24">
          <cell r="A24" t="str">
            <v>H-3(OBT)</v>
          </cell>
          <cell r="C24" t="b">
            <v>0</v>
          </cell>
          <cell r="D24" t="b">
            <v>0</v>
          </cell>
          <cell r="E24" t="str">
            <v>M</v>
          </cell>
          <cell r="F24">
            <v>4.1000000000000001E-11</v>
          </cell>
          <cell r="G24">
            <v>0</v>
          </cell>
          <cell r="H24">
            <v>0</v>
          </cell>
          <cell r="I24">
            <v>4.1999999999999997E-11</v>
          </cell>
          <cell r="J24">
            <v>1.2</v>
          </cell>
          <cell r="K24">
            <v>0</v>
          </cell>
          <cell r="L24" t="e">
            <v>#N/A</v>
          </cell>
          <cell r="M24" t="e">
            <v>#N/A</v>
          </cell>
          <cell r="N24" t="e">
            <v>#N/A</v>
          </cell>
          <cell r="O24" t="e">
            <v>#N/A</v>
          </cell>
          <cell r="P24">
            <v>1.7797208833756094E-9</v>
          </cell>
        </row>
        <row r="25">
          <cell r="A25" t="str">
            <v>I-129</v>
          </cell>
          <cell r="C25" t="b">
            <v>0</v>
          </cell>
          <cell r="D25" t="b">
            <v>0</v>
          </cell>
          <cell r="E25" t="str">
            <v>F</v>
          </cell>
          <cell r="F25">
            <v>3.5999999999999998E-8</v>
          </cell>
          <cell r="G25">
            <v>2.8099999999999998E-16</v>
          </cell>
          <cell r="H25">
            <v>3.1051535765990841E-9</v>
          </cell>
          <cell r="I25">
            <v>1.1000000000000001E-7</v>
          </cell>
          <cell r="J25">
            <v>1.42</v>
          </cell>
          <cell r="K25">
            <v>2E-3</v>
          </cell>
          <cell r="L25">
            <v>603000</v>
          </cell>
          <cell r="M25">
            <v>231000</v>
          </cell>
          <cell r="N25">
            <v>310000</v>
          </cell>
          <cell r="O25">
            <v>209000</v>
          </cell>
          <cell r="P25">
            <v>1.3999715229101133E-15</v>
          </cell>
          <cell r="Q25" t="str">
            <v>[E2]</v>
          </cell>
          <cell r="R25" t="str">
            <v>[P2]</v>
          </cell>
        </row>
        <row r="26">
          <cell r="A26" t="str">
            <v>I-131</v>
          </cell>
          <cell r="C26" t="b">
            <v>0</v>
          </cell>
          <cell r="D26" t="b">
            <v>0</v>
          </cell>
          <cell r="E26" t="str">
            <v>F</v>
          </cell>
          <cell r="F26">
            <v>7.4000000000000001E-9</v>
          </cell>
          <cell r="G26">
            <v>1.6611111111111112E-14</v>
          </cell>
          <cell r="H26">
            <v>2.3568962361578741E-10</v>
          </cell>
          <cell r="I26">
            <v>2.1999999999999998E-8</v>
          </cell>
          <cell r="J26">
            <v>1.42</v>
          </cell>
          <cell r="K26">
            <v>2E-3</v>
          </cell>
          <cell r="L26">
            <v>42200</v>
          </cell>
          <cell r="M26">
            <v>41200</v>
          </cell>
          <cell r="N26">
            <v>58200</v>
          </cell>
          <cell r="O26">
            <v>24700</v>
          </cell>
          <cell r="P26">
            <v>9.9782796169607039E-7</v>
          </cell>
          <cell r="Q26" t="str">
            <v>[P2]</v>
          </cell>
          <cell r="R26" t="str">
            <v>[P2]</v>
          </cell>
        </row>
        <row r="27">
          <cell r="A27" t="str">
            <v>Kr-85</v>
          </cell>
          <cell r="C27" t="b">
            <v>0</v>
          </cell>
          <cell r="D27" t="b">
            <v>1</v>
          </cell>
          <cell r="E27" t="str">
            <v>n/a</v>
          </cell>
          <cell r="F27">
            <v>0</v>
          </cell>
          <cell r="G27">
            <v>9.9444444444444432E-17</v>
          </cell>
          <cell r="H27">
            <v>0</v>
          </cell>
          <cell r="I27">
            <v>0</v>
          </cell>
          <cell r="J27">
            <v>1.2</v>
          </cell>
          <cell r="K27">
            <v>0</v>
          </cell>
          <cell r="L27">
            <v>0</v>
          </cell>
          <cell r="M27">
            <v>0</v>
          </cell>
          <cell r="N27">
            <v>0</v>
          </cell>
          <cell r="O27">
            <v>0</v>
          </cell>
          <cell r="P27">
            <v>2.05033142814261E-9</v>
          </cell>
          <cell r="Q27" t="str">
            <v>[P2]</v>
          </cell>
        </row>
        <row r="28">
          <cell r="A28" t="str">
            <v>Mn-54</v>
          </cell>
          <cell r="C28" t="b">
            <v>0</v>
          </cell>
          <cell r="D28" t="b">
            <v>0</v>
          </cell>
          <cell r="E28" t="str">
            <v>-</v>
          </cell>
          <cell r="F28">
            <v>1.5E-9</v>
          </cell>
          <cell r="G28">
            <v>3.8888888888888894E-14</v>
          </cell>
          <cell r="H28">
            <v>5.2199500994623922E-14</v>
          </cell>
          <cell r="I28">
            <v>7.1000000000000003E-10</v>
          </cell>
          <cell r="J28">
            <v>1.42</v>
          </cell>
          <cell r="K28">
            <v>2E-3</v>
          </cell>
          <cell r="L28">
            <v>86200</v>
          </cell>
          <cell r="M28">
            <v>129000</v>
          </cell>
          <cell r="N28">
            <v>89900</v>
          </cell>
          <cell r="O28">
            <v>193000</v>
          </cell>
          <cell r="P28">
            <v>2.5672117798516492E-8</v>
          </cell>
          <cell r="Q28" t="str">
            <v>[P2]</v>
          </cell>
          <cell r="R28" t="str">
            <v>[P2]</v>
          </cell>
        </row>
        <row r="29">
          <cell r="A29" t="str">
            <v>Pa-234m</v>
          </cell>
          <cell r="B29" t="str">
            <v>U-234</v>
          </cell>
          <cell r="C29" t="b">
            <v>1</v>
          </cell>
          <cell r="D29" t="b">
            <v>0</v>
          </cell>
          <cell r="E29" t="str">
            <v>-</v>
          </cell>
          <cell r="F29">
            <v>0</v>
          </cell>
          <cell r="G29">
            <v>1.2099999999999999E-15</v>
          </cell>
          <cell r="H29">
            <v>1.0970359992816097E-14</v>
          </cell>
          <cell r="I29">
            <v>0</v>
          </cell>
          <cell r="J29">
            <v>1.42</v>
          </cell>
          <cell r="K29">
            <v>2E-3</v>
          </cell>
          <cell r="L29">
            <v>0</v>
          </cell>
          <cell r="M29">
            <v>0</v>
          </cell>
          <cell r="N29">
            <v>0</v>
          </cell>
          <cell r="O29">
            <v>0</v>
          </cell>
          <cell r="P29">
            <v>9.8738914609678829E-3</v>
          </cell>
          <cell r="Q29" t="str">
            <v>[E2]</v>
          </cell>
          <cell r="R29" t="str">
            <v>[E2]</v>
          </cell>
        </row>
        <row r="30">
          <cell r="A30" t="str">
            <v>Pb-210</v>
          </cell>
          <cell r="B30" t="str">
            <v>Bi-210</v>
          </cell>
          <cell r="C30" t="b">
            <v>0</v>
          </cell>
          <cell r="D30" t="b">
            <v>0</v>
          </cell>
          <cell r="E30" t="str">
            <v>M</v>
          </cell>
          <cell r="F30">
            <v>1.1000000000000001E-6</v>
          </cell>
          <cell r="G30">
            <v>4.4800000000000002E-17</v>
          </cell>
          <cell r="H30">
            <v>2.5258419107814847E-10</v>
          </cell>
          <cell r="I30">
            <v>6.8999999999999996E-7</v>
          </cell>
          <cell r="J30">
            <v>1.42</v>
          </cell>
          <cell r="K30">
            <v>2E-3</v>
          </cell>
          <cell r="L30">
            <v>41100</v>
          </cell>
          <cell r="M30">
            <v>140000</v>
          </cell>
          <cell r="N30">
            <v>12400</v>
          </cell>
          <cell r="O30">
            <v>24000</v>
          </cell>
          <cell r="P30">
            <v>9.8563017532236665E-10</v>
          </cell>
          <cell r="Q30" t="str">
            <v>[E2]</v>
          </cell>
          <cell r="R30" t="str">
            <v>[P2]</v>
          </cell>
        </row>
        <row r="31">
          <cell r="A31" t="str">
            <v>Pb-212</v>
          </cell>
          <cell r="C31" t="b">
            <v>1</v>
          </cell>
          <cell r="D31" t="b">
            <v>0</v>
          </cell>
          <cell r="E31" t="str">
            <v>M</v>
          </cell>
          <cell r="F31">
            <v>1.6999999999999999E-7</v>
          </cell>
          <cell r="G31">
            <v>5.694444444444445E-15</v>
          </cell>
          <cell r="H31">
            <v>4.6952269575304332E-12</v>
          </cell>
          <cell r="I31">
            <v>6E-9</v>
          </cell>
          <cell r="J31">
            <v>1.42</v>
          </cell>
          <cell r="K31">
            <v>2E-3</v>
          </cell>
          <cell r="L31">
            <v>163</v>
          </cell>
          <cell r="M31">
            <v>3220</v>
          </cell>
          <cell r="N31">
            <v>211</v>
          </cell>
          <cell r="O31">
            <v>0.85299999999999998</v>
          </cell>
          <cell r="P31">
            <v>1.8095947696322715E-5</v>
          </cell>
          <cell r="Q31" t="str">
            <v>[P2]</v>
          </cell>
          <cell r="R31" t="str">
            <v>[P2]</v>
          </cell>
        </row>
        <row r="32">
          <cell r="A32" t="str">
            <v>Pb-214</v>
          </cell>
          <cell r="B32" t="str">
            <v>Bi-214</v>
          </cell>
          <cell r="C32" t="b">
            <v>1</v>
          </cell>
          <cell r="D32" t="b">
            <v>0</v>
          </cell>
          <cell r="E32" t="str">
            <v>M</v>
          </cell>
          <cell r="F32">
            <v>1.4E-8</v>
          </cell>
          <cell r="G32">
            <v>1.0638888888888888E-14</v>
          </cell>
          <cell r="H32">
            <v>5.5675512358561532E-13</v>
          </cell>
          <cell r="I32">
            <v>1.4000000000000001E-10</v>
          </cell>
          <cell r="J32">
            <v>1.42</v>
          </cell>
          <cell r="K32">
            <v>2E-3</v>
          </cell>
          <cell r="L32">
            <v>7.02</v>
          </cell>
          <cell r="M32">
            <v>139</v>
          </cell>
          <cell r="N32">
            <v>0.65600000000000003</v>
          </cell>
          <cell r="O32">
            <v>1.12E-4</v>
          </cell>
          <cell r="P32">
            <v>4.3106167945270227E-4</v>
          </cell>
          <cell r="Q32" t="str">
            <v>[P2]</v>
          </cell>
          <cell r="R32" t="str">
            <v>[E2]</v>
          </cell>
        </row>
        <row r="33">
          <cell r="A33" t="str">
            <v>Po-210</v>
          </cell>
          <cell r="C33" t="b">
            <v>0</v>
          </cell>
          <cell r="D33" t="b">
            <v>0</v>
          </cell>
          <cell r="E33" t="str">
            <v>M</v>
          </cell>
          <cell r="F33">
            <v>3.3000000000000002E-6</v>
          </cell>
          <cell r="G33">
            <v>3.8900000000000001E-19</v>
          </cell>
          <cell r="H33">
            <v>1.2494176030698249E-13</v>
          </cell>
          <cell r="I33">
            <v>1.1999999999999999E-6</v>
          </cell>
          <cell r="J33">
            <v>1.42</v>
          </cell>
          <cell r="K33">
            <v>2E-3</v>
          </cell>
          <cell r="L33">
            <v>4940</v>
          </cell>
          <cell r="M33">
            <v>95100</v>
          </cell>
          <cell r="N33">
            <v>81500</v>
          </cell>
          <cell r="O33">
            <v>105000</v>
          </cell>
          <cell r="P33">
            <v>5.7974684289900302E-8</v>
          </cell>
          <cell r="Q33" t="str">
            <v>[E2]</v>
          </cell>
          <cell r="R33" t="str">
            <v>[P2]</v>
          </cell>
        </row>
        <row r="34">
          <cell r="A34" t="str">
            <v>Po-214</v>
          </cell>
          <cell r="C34" t="b">
            <v>1</v>
          </cell>
          <cell r="D34" t="b">
            <v>0</v>
          </cell>
          <cell r="E34" t="str">
            <v>M</v>
          </cell>
          <cell r="F34">
            <v>0</v>
          </cell>
          <cell r="G34">
            <v>3.8099999999999998E-18</v>
          </cell>
          <cell r="H34">
            <v>1.8796859260758271E-23</v>
          </cell>
          <cell r="I34">
            <v>0</v>
          </cell>
          <cell r="J34">
            <v>1.42</v>
          </cell>
          <cell r="K34">
            <v>2E-3</v>
          </cell>
          <cell r="L34">
            <v>0</v>
          </cell>
          <cell r="M34">
            <v>0</v>
          </cell>
          <cell r="N34">
            <v>0</v>
          </cell>
          <cell r="O34">
            <v>0</v>
          </cell>
          <cell r="P34">
            <v>4218.7898999388026</v>
          </cell>
          <cell r="Q34" t="str">
            <v>[E2]</v>
          </cell>
          <cell r="R34" t="str">
            <v>[E2]</v>
          </cell>
        </row>
        <row r="35">
          <cell r="A35" t="str">
            <v>Po-218</v>
          </cell>
          <cell r="B35" t="str">
            <v>Pb-214</v>
          </cell>
          <cell r="C35" t="b">
            <v>1</v>
          </cell>
          <cell r="D35" t="b">
            <v>0</v>
          </cell>
          <cell r="E35" t="str">
            <v>M</v>
          </cell>
          <cell r="F35">
            <v>0</v>
          </cell>
          <cell r="G35">
            <v>4.2100000000000001E-19</v>
          </cell>
          <cell r="H35">
            <v>2.2863496917535975E-18</v>
          </cell>
          <cell r="I35">
            <v>0</v>
          </cell>
          <cell r="J35">
            <v>1.42</v>
          </cell>
          <cell r="K35">
            <v>2E-3</v>
          </cell>
          <cell r="L35">
            <v>0</v>
          </cell>
          <cell r="M35">
            <v>0</v>
          </cell>
          <cell r="N35">
            <v>0</v>
          </cell>
          <cell r="O35">
            <v>0</v>
          </cell>
          <cell r="P35">
            <v>3.7876895112565318E-3</v>
          </cell>
          <cell r="Q35" t="str">
            <v>[E2]</v>
          </cell>
          <cell r="R35" t="str">
            <v>[E2]</v>
          </cell>
        </row>
        <row r="36">
          <cell r="A36" t="str">
            <v>Pu-239</v>
          </cell>
          <cell r="C36" t="b">
            <v>0</v>
          </cell>
          <cell r="D36" t="b">
            <v>0</v>
          </cell>
          <cell r="E36" t="str">
            <v>M</v>
          </cell>
          <cell r="F36">
            <v>5.0000000000000002E-5</v>
          </cell>
          <cell r="G36">
            <v>3.48E-18</v>
          </cell>
          <cell r="H36">
            <v>3.5449339477855193E-11</v>
          </cell>
          <cell r="I36">
            <v>2.4999999999999999E-7</v>
          </cell>
          <cell r="J36">
            <v>1.42</v>
          </cell>
          <cell r="K36">
            <v>2E-3</v>
          </cell>
          <cell r="L36">
            <v>10400</v>
          </cell>
          <cell r="M36">
            <v>110000</v>
          </cell>
          <cell r="N36">
            <v>159</v>
          </cell>
          <cell r="O36">
            <v>8790</v>
          </cell>
          <cell r="P36">
            <v>9.1334107249901421E-13</v>
          </cell>
          <cell r="Q36" t="str">
            <v>[E2]</v>
          </cell>
          <cell r="R36" t="str">
            <v>[P2]</v>
          </cell>
        </row>
        <row r="37">
          <cell r="A37" t="str">
            <v>Pu-240</v>
          </cell>
          <cell r="C37" t="b">
            <v>0</v>
          </cell>
          <cell r="D37" t="b">
            <v>0</v>
          </cell>
          <cell r="E37" t="str">
            <v>M</v>
          </cell>
          <cell r="F37">
            <v>5.0000000000000002E-5</v>
          </cell>
          <cell r="G37">
            <v>3.4199999999999999E-18</v>
          </cell>
          <cell r="H37">
            <v>1.4826210985163843E-11</v>
          </cell>
          <cell r="I37">
            <v>2.4999999999999999E-7</v>
          </cell>
          <cell r="J37">
            <v>1.42</v>
          </cell>
          <cell r="K37">
            <v>2E-3</v>
          </cell>
          <cell r="L37">
            <v>10400</v>
          </cell>
          <cell r="M37">
            <v>110000</v>
          </cell>
          <cell r="N37">
            <v>159</v>
          </cell>
          <cell r="O37">
            <v>8780</v>
          </cell>
          <cell r="P37">
            <v>3.3623302600105212E-12</v>
          </cell>
          <cell r="Q37" t="str">
            <v>[E2]</v>
          </cell>
          <cell r="R37" t="str">
            <v>[P2]</v>
          </cell>
        </row>
        <row r="38">
          <cell r="A38" t="str">
            <v>Ra-226</v>
          </cell>
          <cell r="B38" t="str">
            <v>Rn-222</v>
          </cell>
          <cell r="C38" t="b">
            <v>0</v>
          </cell>
          <cell r="D38" t="b">
            <v>0</v>
          </cell>
          <cell r="E38" t="str">
            <v>M</v>
          </cell>
          <cell r="F38">
            <v>3.4999999999999999E-6</v>
          </cell>
          <cell r="G38">
            <v>2.8399999999999998E-16</v>
          </cell>
          <cell r="H38">
            <v>3.7829834074455192E-9</v>
          </cell>
          <cell r="I38">
            <v>2.8000000000000002E-7</v>
          </cell>
          <cell r="J38">
            <v>1.42</v>
          </cell>
          <cell r="K38">
            <v>2E-3</v>
          </cell>
          <cell r="L38">
            <v>263000</v>
          </cell>
          <cell r="M38">
            <v>304000</v>
          </cell>
          <cell r="N38">
            <v>167000</v>
          </cell>
          <cell r="O38">
            <v>32700</v>
          </cell>
          <cell r="P38">
            <v>1.3737220568555486E-11</v>
          </cell>
          <cell r="Q38" t="str">
            <v>[E2]</v>
          </cell>
          <cell r="R38" t="str">
            <v>[P2]</v>
          </cell>
        </row>
        <row r="39">
          <cell r="A39" t="str">
            <v>Ra-228</v>
          </cell>
          <cell r="B39" t="str">
            <v>Ac-228</v>
          </cell>
          <cell r="C39" t="b">
            <v>1</v>
          </cell>
          <cell r="D39" t="b">
            <v>0</v>
          </cell>
          <cell r="E39" t="str">
            <v>M</v>
          </cell>
          <cell r="F39">
            <v>2.6000000000000001E-6</v>
          </cell>
          <cell r="G39">
            <v>0</v>
          </cell>
          <cell r="H39">
            <v>0</v>
          </cell>
          <cell r="I39">
            <v>6.8999999999999996E-7</v>
          </cell>
          <cell r="J39">
            <v>1.42</v>
          </cell>
          <cell r="K39">
            <v>2E-3</v>
          </cell>
          <cell r="L39">
            <v>87600</v>
          </cell>
          <cell r="M39">
            <v>131000</v>
          </cell>
          <cell r="N39">
            <v>73500</v>
          </cell>
          <cell r="O39">
            <v>14300</v>
          </cell>
          <cell r="P39">
            <v>3.8225309408154397E-9</v>
          </cell>
          <cell r="Q39" t="str">
            <v>[E2]</v>
          </cell>
        </row>
        <row r="40">
          <cell r="A40" t="str">
            <v>Rh-106</v>
          </cell>
          <cell r="C40" t="b">
            <v>1</v>
          </cell>
          <cell r="D40" t="b">
            <v>0</v>
          </cell>
          <cell r="E40" t="str">
            <v>-</v>
          </cell>
          <cell r="F40">
            <v>0</v>
          </cell>
          <cell r="G40">
            <v>9.3611111111111115E-15</v>
          </cell>
          <cell r="H40">
            <v>5.5118947591974386E-15</v>
          </cell>
          <cell r="I40">
            <v>0</v>
          </cell>
          <cell r="J40">
            <v>1.42</v>
          </cell>
          <cell r="K40">
            <v>2E-3</v>
          </cell>
          <cell r="L40">
            <v>0</v>
          </cell>
          <cell r="M40">
            <v>0</v>
          </cell>
          <cell r="N40">
            <v>0</v>
          </cell>
          <cell r="O40">
            <v>0</v>
          </cell>
          <cell r="P40">
            <v>2.3182179951837637E-2</v>
          </cell>
          <cell r="Q40" t="str">
            <v>[P2]</v>
          </cell>
          <cell r="R40" t="str">
            <v>[P2]</v>
          </cell>
        </row>
        <row r="41">
          <cell r="A41" t="str">
            <v>Rn-222</v>
          </cell>
          <cell r="B41" t="str">
            <v>Po-218</v>
          </cell>
          <cell r="C41" t="b">
            <v>1</v>
          </cell>
          <cell r="D41" t="b">
            <v>1</v>
          </cell>
          <cell r="E41" t="str">
            <v>n/a</v>
          </cell>
          <cell r="F41">
            <v>4.7520000000000001E-9</v>
          </cell>
          <cell r="G41">
            <v>1.77E-17</v>
          </cell>
          <cell r="H41">
            <v>0</v>
          </cell>
          <cell r="I41">
            <v>0</v>
          </cell>
          <cell r="J41">
            <v>1.2</v>
          </cell>
          <cell r="K41">
            <v>0</v>
          </cell>
          <cell r="L41">
            <v>0</v>
          </cell>
          <cell r="M41">
            <v>0</v>
          </cell>
          <cell r="N41">
            <v>0</v>
          </cell>
          <cell r="O41">
            <v>0</v>
          </cell>
          <cell r="P41">
            <v>2.0982180755947176E-6</v>
          </cell>
          <cell r="Q41" t="str">
            <v>[E2]</v>
          </cell>
        </row>
        <row r="42">
          <cell r="A42" t="str">
            <v>Ru-106</v>
          </cell>
          <cell r="B42" t="str">
            <v>Rh-106</v>
          </cell>
          <cell r="C42" t="b">
            <v>0</v>
          </cell>
          <cell r="D42" t="b">
            <v>0</v>
          </cell>
          <cell r="E42" t="str">
            <v>M</v>
          </cell>
          <cell r="F42">
            <v>2.7999999999999999E-8</v>
          </cell>
          <cell r="G42">
            <v>0</v>
          </cell>
          <cell r="H42">
            <v>0</v>
          </cell>
          <cell r="I42">
            <v>6.9999999999999998E-9</v>
          </cell>
          <cell r="J42">
            <v>1.42</v>
          </cell>
          <cell r="K42">
            <v>2E-3</v>
          </cell>
          <cell r="L42">
            <v>9780</v>
          </cell>
          <cell r="M42">
            <v>104000</v>
          </cell>
          <cell r="N42">
            <v>1090</v>
          </cell>
          <cell r="O42">
            <v>971000</v>
          </cell>
          <cell r="P42">
            <v>2.1788530179349277E-8</v>
          </cell>
          <cell r="Q42" t="str">
            <v>[E2]</v>
          </cell>
          <cell r="R42" t="str">
            <v>[E2]</v>
          </cell>
        </row>
        <row r="43">
          <cell r="A43" t="str">
            <v>S-35</v>
          </cell>
          <cell r="C43" t="b">
            <v>0</v>
          </cell>
          <cell r="D43" t="b">
            <v>0</v>
          </cell>
          <cell r="E43" t="str">
            <v>M</v>
          </cell>
          <cell r="F43">
            <v>1.3999999999999999E-9</v>
          </cell>
          <cell r="G43">
            <v>3.11E-18</v>
          </cell>
          <cell r="H43">
            <v>0</v>
          </cell>
          <cell r="I43">
            <v>7.7000000000000003E-10</v>
          </cell>
          <cell r="J43">
            <v>1.42</v>
          </cell>
          <cell r="K43">
            <v>2E-3</v>
          </cell>
          <cell r="L43">
            <v>373000</v>
          </cell>
          <cell r="M43">
            <v>123000</v>
          </cell>
          <cell r="N43">
            <v>1400000</v>
          </cell>
          <cell r="O43">
            <v>6030000</v>
          </cell>
          <cell r="P43">
            <v>9.1749048628046699E-8</v>
          </cell>
          <cell r="Q43" t="str">
            <v>[E2]</v>
          </cell>
          <cell r="R43" t="str">
            <v>[P2]</v>
          </cell>
        </row>
        <row r="44">
          <cell r="A44" t="str">
            <v>Sr-90</v>
          </cell>
          <cell r="B44" t="str">
            <v>Y-90</v>
          </cell>
          <cell r="C44" t="b">
            <v>0</v>
          </cell>
          <cell r="D44" t="b">
            <v>0</v>
          </cell>
          <cell r="E44" t="str">
            <v>M</v>
          </cell>
          <cell r="F44">
            <v>3.5999999999999998E-8</v>
          </cell>
          <cell r="G44">
            <v>9.8300000000000002E-17</v>
          </cell>
          <cell r="H44">
            <v>0</v>
          </cell>
          <cell r="I44">
            <v>2.7999999999999999E-8</v>
          </cell>
          <cell r="J44">
            <v>1.42</v>
          </cell>
          <cell r="K44">
            <v>2E-3</v>
          </cell>
          <cell r="L44">
            <v>709000</v>
          </cell>
          <cell r="M44">
            <v>725000</v>
          </cell>
          <cell r="N44">
            <v>1540000</v>
          </cell>
          <cell r="O44">
            <v>330000</v>
          </cell>
          <cell r="P44">
            <v>7.5479233893162016E-10</v>
          </cell>
          <cell r="Q44" t="str">
            <v>[E2]</v>
          </cell>
          <cell r="R44" t="str">
            <v>[P2]</v>
          </cell>
        </row>
        <row r="45">
          <cell r="A45" t="str">
            <v>Th-228</v>
          </cell>
          <cell r="B45" t="str">
            <v>Pb-212</v>
          </cell>
          <cell r="C45" t="b">
            <v>1</v>
          </cell>
          <cell r="D45" t="b">
            <v>0</v>
          </cell>
          <cell r="E45" t="str">
            <v>S</v>
          </cell>
          <cell r="F45">
            <v>4.0000000000000003E-5</v>
          </cell>
          <cell r="G45">
            <v>8.0999999999999997E-17</v>
          </cell>
          <cell r="H45">
            <v>6.9181500713167104E-11</v>
          </cell>
          <cell r="I45">
            <v>7.1999999999999996E-8</v>
          </cell>
          <cell r="J45">
            <v>1.42</v>
          </cell>
          <cell r="K45">
            <v>2E-3</v>
          </cell>
          <cell r="L45">
            <v>5360</v>
          </cell>
          <cell r="M45">
            <v>103000</v>
          </cell>
          <cell r="N45">
            <v>147</v>
          </cell>
          <cell r="O45">
            <v>1160</v>
          </cell>
          <cell r="P45">
            <v>1.1488972301337504E-8</v>
          </cell>
          <cell r="Q45" t="str">
            <v>[E2]</v>
          </cell>
          <cell r="R45" t="str">
            <v>[P2]</v>
          </cell>
        </row>
        <row r="46">
          <cell r="A46" t="str">
            <v>Th-230</v>
          </cell>
          <cell r="C46" t="b">
            <v>0</v>
          </cell>
          <cell r="D46" t="b">
            <v>0</v>
          </cell>
          <cell r="E46" t="str">
            <v>S</v>
          </cell>
          <cell r="F46">
            <v>1.4E-5</v>
          </cell>
          <cell r="G46">
            <v>1.4800000000000001E-17</v>
          </cell>
          <cell r="H46">
            <v>0</v>
          </cell>
          <cell r="I46">
            <v>2.1E-7</v>
          </cell>
          <cell r="J46">
            <v>1.42</v>
          </cell>
          <cell r="K46">
            <v>2E-3</v>
          </cell>
          <cell r="L46">
            <v>7930</v>
          </cell>
          <cell r="M46">
            <v>107000</v>
          </cell>
          <cell r="N46">
            <v>165</v>
          </cell>
          <cell r="O46">
            <v>2220</v>
          </cell>
          <cell r="P46">
            <v>2.8544873908686723E-13</v>
          </cell>
          <cell r="Q46" t="str">
            <v>[E2]</v>
          </cell>
          <cell r="R46" t="str">
            <v>[P2]</v>
          </cell>
        </row>
        <row r="47">
          <cell r="A47" t="str">
            <v>Th-232</v>
          </cell>
          <cell r="B47" t="str">
            <v>Ra-228</v>
          </cell>
          <cell r="C47" t="b">
            <v>0</v>
          </cell>
          <cell r="D47" t="b">
            <v>0</v>
          </cell>
          <cell r="E47" t="str">
            <v>S</v>
          </cell>
          <cell r="F47">
            <v>2.5000000000000001E-5</v>
          </cell>
          <cell r="G47">
            <v>7.24E-18</v>
          </cell>
          <cell r="H47">
            <v>8.7486614082663154E-11</v>
          </cell>
          <cell r="I47">
            <v>2.2999999999999999E-7</v>
          </cell>
          <cell r="J47">
            <v>1.42</v>
          </cell>
          <cell r="K47">
            <v>2E-3</v>
          </cell>
          <cell r="L47">
            <v>7930</v>
          </cell>
          <cell r="M47">
            <v>107000</v>
          </cell>
          <cell r="N47">
            <v>165</v>
          </cell>
          <cell r="O47">
            <v>2220</v>
          </cell>
          <cell r="P47">
            <v>1.5643809900134361E-18</v>
          </cell>
          <cell r="Q47" t="str">
            <v>[E2]</v>
          </cell>
          <cell r="R47" t="str">
            <v>[P2]</v>
          </cell>
        </row>
        <row r="48">
          <cell r="A48" t="str">
            <v>Th-234</v>
          </cell>
          <cell r="B48" t="str">
            <v>Pa-234m</v>
          </cell>
          <cell r="C48" t="b">
            <v>1</v>
          </cell>
          <cell r="D48" t="b">
            <v>0</v>
          </cell>
          <cell r="E48" t="str">
            <v>S</v>
          </cell>
          <cell r="F48">
            <v>7.6999999999999995E-9</v>
          </cell>
          <cell r="G48">
            <v>2.9399999999999999E-16</v>
          </cell>
          <cell r="H48">
            <v>1.3061012496380228E-11</v>
          </cell>
          <cell r="I48">
            <v>3.3999999999999998E-9</v>
          </cell>
          <cell r="J48">
            <v>1.42</v>
          </cell>
          <cell r="K48">
            <v>2E-3</v>
          </cell>
          <cell r="L48">
            <v>3370</v>
          </cell>
          <cell r="M48">
            <v>66200</v>
          </cell>
          <cell r="N48">
            <v>106</v>
          </cell>
          <cell r="O48">
            <v>66.400000000000006</v>
          </cell>
          <cell r="P48">
            <v>3.3288534489777605E-7</v>
          </cell>
          <cell r="Q48" t="str">
            <v>[E2]</v>
          </cell>
          <cell r="R48" t="str">
            <v>[P2]</v>
          </cell>
        </row>
        <row r="49">
          <cell r="A49" t="str">
            <v>U-234</v>
          </cell>
          <cell r="C49" t="b">
            <v>0</v>
          </cell>
          <cell r="D49" t="b">
            <v>0</v>
          </cell>
          <cell r="E49" t="str">
            <v>M</v>
          </cell>
          <cell r="F49">
            <v>3.4999999999999999E-6</v>
          </cell>
          <cell r="G49">
            <v>6.1099999999999998E-18</v>
          </cell>
          <cell r="H49">
            <v>5.470413996938615E-11</v>
          </cell>
          <cell r="I49">
            <v>4.9000000000000002E-8</v>
          </cell>
          <cell r="J49">
            <v>1.42</v>
          </cell>
          <cell r="K49">
            <v>2E-3</v>
          </cell>
          <cell r="L49">
            <v>55600</v>
          </cell>
          <cell r="M49">
            <v>154000</v>
          </cell>
          <cell r="N49">
            <v>57300</v>
          </cell>
          <cell r="O49">
            <v>284000</v>
          </cell>
          <cell r="P49">
            <v>8.9895921921017495E-14</v>
          </cell>
          <cell r="Q49" t="str">
            <v>[E2]</v>
          </cell>
          <cell r="R49" t="str">
            <v>[P2]</v>
          </cell>
        </row>
        <row r="50">
          <cell r="A50" t="str">
            <v>U-238</v>
          </cell>
          <cell r="B50" t="str">
            <v>Th-234</v>
          </cell>
          <cell r="C50" t="b">
            <v>0</v>
          </cell>
          <cell r="D50" t="b">
            <v>0</v>
          </cell>
          <cell r="E50" t="str">
            <v>M</v>
          </cell>
          <cell r="F50">
            <v>2.9000000000000002E-6</v>
          </cell>
          <cell r="G50">
            <v>2.5000000000000002E-18</v>
          </cell>
          <cell r="H50">
            <v>1.9296343255132421E-11</v>
          </cell>
          <cell r="I50">
            <v>4.4999999999999999E-8</v>
          </cell>
          <cell r="J50">
            <v>1.42</v>
          </cell>
          <cell r="K50">
            <v>2E-3</v>
          </cell>
          <cell r="L50">
            <v>55600</v>
          </cell>
          <cell r="M50">
            <v>154000</v>
          </cell>
          <cell r="N50">
            <v>57300</v>
          </cell>
          <cell r="O50">
            <v>284000</v>
          </cell>
          <cell r="P50">
            <v>4.9193269717298071E-18</v>
          </cell>
          <cell r="Q50" t="str">
            <v>[E2]</v>
          </cell>
          <cell r="R50" t="str">
            <v>[P2]</v>
          </cell>
        </row>
        <row r="51">
          <cell r="A51" t="str">
            <v>Xe-133</v>
          </cell>
          <cell r="C51" t="b">
            <v>0</v>
          </cell>
          <cell r="D51" t="b">
            <v>1</v>
          </cell>
          <cell r="E51" t="str">
            <v>n/a</v>
          </cell>
          <cell r="F51">
            <v>0</v>
          </cell>
          <cell r="G51">
            <v>1.2083333333333332E-15</v>
          </cell>
          <cell r="H51">
            <v>0</v>
          </cell>
          <cell r="I51">
            <v>0</v>
          </cell>
          <cell r="J51">
            <v>1.2</v>
          </cell>
          <cell r="K51">
            <v>0</v>
          </cell>
          <cell r="L51">
            <v>0</v>
          </cell>
          <cell r="M51">
            <v>0</v>
          </cell>
          <cell r="N51">
            <v>0</v>
          </cell>
          <cell r="O51">
            <v>0</v>
          </cell>
          <cell r="P51">
            <v>1.5295589727428796E-6</v>
          </cell>
          <cell r="Q51" t="str">
            <v>[P2]</v>
          </cell>
        </row>
        <row r="52">
          <cell r="A52" t="str">
            <v>Xe-135</v>
          </cell>
          <cell r="B52" t="str">
            <v>Cs-135</v>
          </cell>
          <cell r="C52" t="b">
            <v>0</v>
          </cell>
          <cell r="D52" t="b">
            <v>1</v>
          </cell>
          <cell r="E52" t="str">
            <v>n/a</v>
          </cell>
          <cell r="F52">
            <v>0</v>
          </cell>
          <cell r="G52">
            <v>1.036111111111111E-14</v>
          </cell>
          <cell r="H52">
            <v>0</v>
          </cell>
          <cell r="I52">
            <v>0</v>
          </cell>
          <cell r="J52">
            <v>1.2</v>
          </cell>
          <cell r="K52">
            <v>0</v>
          </cell>
          <cell r="L52">
            <v>0</v>
          </cell>
          <cell r="M52">
            <v>0</v>
          </cell>
          <cell r="N52">
            <v>0</v>
          </cell>
          <cell r="O52">
            <v>0</v>
          </cell>
          <cell r="P52">
            <v>2.1181615345310638E-5</v>
          </cell>
          <cell r="Q52" t="str">
            <v>[P2]</v>
          </cell>
        </row>
        <row r="53">
          <cell r="A53" t="str">
            <v>Xe-138</v>
          </cell>
          <cell r="B53" t="str">
            <v>Cs-138</v>
          </cell>
          <cell r="C53" t="b">
            <v>0</v>
          </cell>
          <cell r="D53" t="b">
            <v>1</v>
          </cell>
          <cell r="E53" t="str">
            <v>n/a</v>
          </cell>
          <cell r="F53">
            <v>0</v>
          </cell>
          <cell r="G53">
            <v>5.4444444444444449E-14</v>
          </cell>
          <cell r="H53">
            <v>0</v>
          </cell>
          <cell r="I53">
            <v>0</v>
          </cell>
          <cell r="J53">
            <v>1.2</v>
          </cell>
          <cell r="K53">
            <v>0</v>
          </cell>
          <cell r="L53">
            <v>0</v>
          </cell>
          <cell r="M53">
            <v>0</v>
          </cell>
          <cell r="N53">
            <v>0</v>
          </cell>
          <cell r="O53">
            <v>0</v>
          </cell>
          <cell r="P53">
            <v>8.1527544173129289E-4</v>
          </cell>
          <cell r="Q53" t="str">
            <v>[P2]</v>
          </cell>
        </row>
        <row r="54">
          <cell r="A54" t="str">
            <v>Y-90</v>
          </cell>
          <cell r="C54" t="b">
            <v>1</v>
          </cell>
          <cell r="D54" t="b">
            <v>0</v>
          </cell>
          <cell r="E54" t="str">
            <v>-</v>
          </cell>
          <cell r="F54">
            <v>1.5E-9</v>
          </cell>
          <cell r="G54">
            <v>7.9199999999999995E-16</v>
          </cell>
          <cell r="H54">
            <v>0</v>
          </cell>
          <cell r="I54">
            <v>2.7000000000000002E-9</v>
          </cell>
          <cell r="J54">
            <v>1.42</v>
          </cell>
          <cell r="K54">
            <v>2E-3</v>
          </cell>
          <cell r="L54">
            <v>0</v>
          </cell>
          <cell r="M54">
            <v>0</v>
          </cell>
          <cell r="N54">
            <v>0</v>
          </cell>
          <cell r="O54">
            <v>0</v>
          </cell>
          <cell r="P54">
            <v>3.0084513045136514E-6</v>
          </cell>
          <cell r="Q54" t="str">
            <v>[E2]</v>
          </cell>
        </row>
        <row r="55">
          <cell r="A55" t="str">
            <v>Zn-65</v>
          </cell>
          <cell r="C55" t="b">
            <v>0</v>
          </cell>
          <cell r="D55" t="b">
            <v>0</v>
          </cell>
          <cell r="E55" t="str">
            <v>M</v>
          </cell>
          <cell r="F55">
            <v>1.6000000000000001E-9</v>
          </cell>
          <cell r="G55">
            <v>2.7666666666666664E-14</v>
          </cell>
          <cell r="H55">
            <v>9.0017033074306377E-9</v>
          </cell>
          <cell r="I55">
            <v>3.9000000000000002E-9</v>
          </cell>
          <cell r="J55">
            <v>1.42</v>
          </cell>
          <cell r="K55">
            <v>2E-3</v>
          </cell>
          <cell r="L55">
            <v>181000</v>
          </cell>
          <cell r="M55">
            <v>222000</v>
          </cell>
          <cell r="N55">
            <v>698000</v>
          </cell>
          <cell r="O55">
            <v>5840000</v>
          </cell>
          <cell r="P55">
            <v>3.2892729856647822E-8</v>
          </cell>
          <cell r="Q55" t="str">
            <v>[P2]</v>
          </cell>
          <cell r="R55" t="str">
            <v>[P2]</v>
          </cell>
        </row>
      </sheetData>
      <sheetData sheetId="3">
        <row r="6">
          <cell r="A6" t="str">
            <v>Africa</v>
          </cell>
          <cell r="B6">
            <v>125.8</v>
          </cell>
          <cell r="C6">
            <v>220.7</v>
          </cell>
          <cell r="D6">
            <v>30.5</v>
          </cell>
          <cell r="E6">
            <v>17.2</v>
          </cell>
        </row>
        <row r="7">
          <cell r="A7" t="str">
            <v>Asia + Pacific</v>
          </cell>
          <cell r="B7">
            <v>141.5</v>
          </cell>
          <cell r="C7">
            <v>240.8</v>
          </cell>
          <cell r="D7">
            <v>44.5</v>
          </cell>
          <cell r="E7">
            <v>29.5</v>
          </cell>
        </row>
        <row r="8">
          <cell r="A8" t="str">
            <v>Europe</v>
          </cell>
          <cell r="B8">
            <v>110.3</v>
          </cell>
          <cell r="C8">
            <v>280.60000000000002</v>
          </cell>
          <cell r="D8">
            <v>119.7</v>
          </cell>
          <cell r="E8">
            <v>65.2</v>
          </cell>
        </row>
        <row r="9">
          <cell r="A9" t="str">
            <v>Latin America + Caribbean</v>
          </cell>
          <cell r="B9">
            <v>105.9</v>
          </cell>
          <cell r="C9">
            <v>207.2</v>
          </cell>
          <cell r="D9">
            <v>76.8</v>
          </cell>
          <cell r="E9">
            <v>63.4</v>
          </cell>
        </row>
        <row r="10">
          <cell r="A10" t="str">
            <v>North America</v>
          </cell>
          <cell r="B10">
            <v>88.1</v>
          </cell>
          <cell r="C10">
            <v>255.2</v>
          </cell>
          <cell r="D10">
            <v>123.6</v>
          </cell>
          <cell r="E10">
            <v>100.4</v>
          </cell>
        </row>
        <row r="11">
          <cell r="A11" t="str">
            <v>West Asia</v>
          </cell>
          <cell r="B11">
            <v>140.6</v>
          </cell>
          <cell r="C11">
            <v>181</v>
          </cell>
          <cell r="D11">
            <v>42.5</v>
          </cell>
          <cell r="E11">
            <v>33.700000000000003</v>
          </cell>
        </row>
        <row r="12">
          <cell r="A12" t="str">
            <v>World average</v>
          </cell>
          <cell r="B12">
            <v>125.81852610098041</v>
          </cell>
          <cell r="C12">
            <v>231.96013968100854</v>
          </cell>
          <cell r="D12">
            <v>64.6446613384296</v>
          </cell>
          <cell r="E12">
            <v>43.91270029932349</v>
          </cell>
        </row>
        <row r="16">
          <cell r="A16" t="str">
            <v>Africa</v>
          </cell>
          <cell r="B16" t="str">
            <v>Coastal</v>
          </cell>
          <cell r="C16">
            <v>3914139</v>
          </cell>
          <cell r="D16">
            <v>1127028</v>
          </cell>
          <cell r="E16">
            <v>8691818</v>
          </cell>
          <cell r="F16">
            <v>34296247</v>
          </cell>
        </row>
        <row r="17">
          <cell r="A17" t="str">
            <v>Asia + Pacific</v>
          </cell>
          <cell r="B17" t="str">
            <v>Coastal</v>
          </cell>
          <cell r="C17">
            <v>8273475.28125</v>
          </cell>
          <cell r="D17">
            <v>88174909.75</v>
          </cell>
          <cell r="E17">
            <v>202996214.65625</v>
          </cell>
          <cell r="F17">
            <v>351442273.21875</v>
          </cell>
        </row>
        <row r="18">
          <cell r="A18" t="str">
            <v>Europe</v>
          </cell>
          <cell r="B18" t="str">
            <v>Coastal</v>
          </cell>
          <cell r="C18">
            <v>3301335.8846153845</v>
          </cell>
          <cell r="D18">
            <v>64066642.961538464</v>
          </cell>
          <cell r="E18">
            <v>125252918.23076923</v>
          </cell>
          <cell r="F18">
            <v>152451977.61538461</v>
          </cell>
        </row>
        <row r="19">
          <cell r="A19" t="str">
            <v>Latin America + Caribbean</v>
          </cell>
          <cell r="B19" t="str">
            <v>Coastal</v>
          </cell>
          <cell r="C19">
            <v>3577616</v>
          </cell>
          <cell r="D19">
            <v>61892184.5</v>
          </cell>
          <cell r="E19">
            <v>48423359.5</v>
          </cell>
          <cell r="F19">
            <v>43395774.5</v>
          </cell>
        </row>
        <row r="20">
          <cell r="A20" t="str">
            <v>North America</v>
          </cell>
          <cell r="B20" t="str">
            <v>Coastal</v>
          </cell>
          <cell r="C20">
            <v>4739801.083333333</v>
          </cell>
          <cell r="D20">
            <v>40130605.208333336</v>
          </cell>
          <cell r="E20">
            <v>70100532.583333328</v>
          </cell>
          <cell r="F20">
            <v>66755815.416666664</v>
          </cell>
        </row>
        <row r="21">
          <cell r="A21" t="str">
            <v>West Asia</v>
          </cell>
          <cell r="B21" t="str">
            <v>Coastal</v>
          </cell>
          <cell r="C21">
            <v>0</v>
          </cell>
          <cell r="D21">
            <v>0</v>
          </cell>
          <cell r="E21">
            <v>0</v>
          </cell>
          <cell r="F21">
            <v>0</v>
          </cell>
        </row>
        <row r="22">
          <cell r="A22" t="str">
            <v>World average</v>
          </cell>
          <cell r="B22" t="str">
            <v>Coastal</v>
          </cell>
          <cell r="C22">
            <v>5593065.1647058828</v>
          </cell>
          <cell r="D22">
            <v>65592655.894117646</v>
          </cell>
          <cell r="E22">
            <v>135769483.08235294</v>
          </cell>
          <cell r="F22">
            <v>199213312.08235294</v>
          </cell>
        </row>
        <row r="23">
          <cell r="A23" t="str">
            <v>Africa</v>
          </cell>
          <cell r="B23" t="str">
            <v>Inland</v>
          </cell>
          <cell r="C23">
            <v>0</v>
          </cell>
          <cell r="D23">
            <v>0</v>
          </cell>
          <cell r="E23">
            <v>0</v>
          </cell>
          <cell r="F23">
            <v>0</v>
          </cell>
        </row>
        <row r="24">
          <cell r="A24" t="str">
            <v>Asia + Pacific</v>
          </cell>
          <cell r="B24" t="str">
            <v>Inland</v>
          </cell>
          <cell r="C24">
            <v>18827944.800000001</v>
          </cell>
          <cell r="D24">
            <v>198375399.40000001</v>
          </cell>
          <cell r="E24">
            <v>461696478.39999998</v>
          </cell>
          <cell r="F24">
            <v>500166646</v>
          </cell>
        </row>
        <row r="25">
          <cell r="A25" t="str">
            <v>Europe</v>
          </cell>
          <cell r="B25" t="str">
            <v>Inland</v>
          </cell>
          <cell r="C25">
            <v>4616683.2545454549</v>
          </cell>
          <cell r="D25">
            <v>89448804.763636366</v>
          </cell>
          <cell r="E25">
            <v>183838010.41818181</v>
          </cell>
          <cell r="F25">
            <v>179609296.59999999</v>
          </cell>
        </row>
        <row r="26">
          <cell r="A26" t="str">
            <v>Latin America + Caribbean</v>
          </cell>
          <cell r="B26" t="str">
            <v>Inland</v>
          </cell>
          <cell r="C26">
            <v>4568144.5</v>
          </cell>
          <cell r="D26">
            <v>15274742.5</v>
          </cell>
          <cell r="E26">
            <v>37180743.5</v>
          </cell>
          <cell r="F26">
            <v>34164270</v>
          </cell>
        </row>
        <row r="27">
          <cell r="A27" t="str">
            <v>North America</v>
          </cell>
          <cell r="B27" t="str">
            <v>Inland</v>
          </cell>
          <cell r="C27">
            <v>3026730.7391304346</v>
          </cell>
          <cell r="D27">
            <v>38918065.326086953</v>
          </cell>
          <cell r="E27">
            <v>76867641.630434781</v>
          </cell>
          <cell r="F27">
            <v>84944609.673913047</v>
          </cell>
        </row>
        <row r="28">
          <cell r="A28" t="str">
            <v>West Asia</v>
          </cell>
          <cell r="B28" t="str">
            <v>Inland</v>
          </cell>
          <cell r="C28">
            <v>0</v>
          </cell>
          <cell r="D28">
            <v>0</v>
          </cell>
          <cell r="E28">
            <v>0</v>
          </cell>
          <cell r="F28">
            <v>0</v>
          </cell>
        </row>
        <row r="29">
          <cell r="A29" t="str">
            <v>World average</v>
          </cell>
          <cell r="B29" t="str">
            <v>Inland</v>
          </cell>
          <cell r="C29">
            <v>4596511.166666667</v>
          </cell>
          <cell r="D29">
            <v>71595756.935185179</v>
          </cell>
          <cell r="E29">
            <v>148424499.69444445</v>
          </cell>
          <cell r="F29">
            <v>151436343.77777779</v>
          </cell>
        </row>
        <row r="34">
          <cell r="A34" t="str">
            <v>Africa</v>
          </cell>
          <cell r="B34">
            <v>78.860878837300007</v>
          </cell>
          <cell r="C34">
            <v>2477487.5761089651</v>
          </cell>
          <cell r="D34">
            <v>59459701.826615155</v>
          </cell>
          <cell r="E34">
            <v>185811568.20817238</v>
          </cell>
          <cell r="F34">
            <v>309685947.01362062</v>
          </cell>
        </row>
        <row r="35">
          <cell r="A35" t="str">
            <v>Asia + Pacific</v>
          </cell>
          <cell r="B35">
            <v>280.19701351269998</v>
          </cell>
          <cell r="C35">
            <v>8802648.7920929827</v>
          </cell>
          <cell r="D35">
            <v>211263571.01023158</v>
          </cell>
          <cell r="E35">
            <v>660198659.40697372</v>
          </cell>
          <cell r="F35">
            <v>1100331099.0116229</v>
          </cell>
        </row>
        <row r="36">
          <cell r="A36" t="str">
            <v>Europe</v>
          </cell>
          <cell r="B36">
            <v>128.15604682759999</v>
          </cell>
          <cell r="C36">
            <v>4026140.9522669767</v>
          </cell>
          <cell r="D36">
            <v>96627382.854407445</v>
          </cell>
          <cell r="E36">
            <v>301960571.42002326</v>
          </cell>
          <cell r="F36">
            <v>503267619.0333721</v>
          </cell>
        </row>
        <row r="37">
          <cell r="A37" t="str">
            <v>Latin America + Caribbean</v>
          </cell>
          <cell r="B37">
            <v>135.61161904761903</v>
          </cell>
          <cell r="C37">
            <v>4260364.6614141762</v>
          </cell>
          <cell r="D37">
            <v>102248751.87394023</v>
          </cell>
          <cell r="E37">
            <v>319527349.60606319</v>
          </cell>
          <cell r="F37">
            <v>532545582.67677206</v>
          </cell>
        </row>
        <row r="38">
          <cell r="A38" t="str">
            <v>North America</v>
          </cell>
          <cell r="B38">
            <v>32.200000000000003</v>
          </cell>
          <cell r="C38">
            <v>1011592.8344559135</v>
          </cell>
          <cell r="D38">
            <v>24278228.026941925</v>
          </cell>
          <cell r="E38">
            <v>75869462.584193513</v>
          </cell>
          <cell r="F38">
            <v>126449104.30698919</v>
          </cell>
        </row>
        <row r="39">
          <cell r="A39" t="str">
            <v>West Asia</v>
          </cell>
          <cell r="B39">
            <v>102.29506967250001</v>
          </cell>
          <cell r="C39">
            <v>3213694.3938158206</v>
          </cell>
          <cell r="D39">
            <v>77128665.45157969</v>
          </cell>
          <cell r="E39">
            <v>241027079.53618655</v>
          </cell>
          <cell r="F39">
            <v>401711799.22697759</v>
          </cell>
        </row>
        <row r="40">
          <cell r="A40" t="str">
            <v>World average</v>
          </cell>
          <cell r="B40">
            <v>159.2201819278944</v>
          </cell>
          <cell r="C40">
            <v>5002049.5384790339</v>
          </cell>
          <cell r="D40">
            <v>120049188.92349683</v>
          </cell>
          <cell r="E40">
            <v>375153715.38592756</v>
          </cell>
          <cell r="F40">
            <v>625256192.3098793</v>
          </cell>
        </row>
        <row r="45">
          <cell r="A45" t="str">
            <v>World average</v>
          </cell>
          <cell r="B45">
            <v>5</v>
          </cell>
          <cell r="C45">
            <v>5</v>
          </cell>
          <cell r="D45">
            <v>157079.63267948967</v>
          </cell>
          <cell r="E45">
            <v>3769911.1843077517</v>
          </cell>
          <cell r="F45">
            <v>11780972.450961724</v>
          </cell>
          <cell r="G45">
            <v>19634954.084936209</v>
          </cell>
        </row>
        <row r="48">
          <cell r="C48">
            <v>5.3000000000000001E-7</v>
          </cell>
        </row>
        <row r="49">
          <cell r="C49">
            <v>1</v>
          </cell>
        </row>
        <row r="50">
          <cell r="C50">
            <v>5</v>
          </cell>
        </row>
        <row r="56">
          <cell r="C56">
            <v>50</v>
          </cell>
        </row>
        <row r="57">
          <cell r="C57">
            <v>300</v>
          </cell>
        </row>
        <row r="58">
          <cell r="C58">
            <v>750</v>
          </cell>
        </row>
        <row r="59">
          <cell r="C59">
            <v>1250</v>
          </cell>
        </row>
        <row r="60">
          <cell r="C60">
            <v>31415.926535897932</v>
          </cell>
        </row>
        <row r="61">
          <cell r="C61">
            <v>753982.23686155037</v>
          </cell>
        </row>
        <row r="62">
          <cell r="C62">
            <v>2356194.4901923449</v>
          </cell>
        </row>
        <row r="63">
          <cell r="C63">
            <v>3926990.8169872416</v>
          </cell>
        </row>
        <row r="64">
          <cell r="C64">
            <v>20</v>
          </cell>
        </row>
        <row r="66">
          <cell r="C66">
            <v>31536000</v>
          </cell>
        </row>
        <row r="67">
          <cell r="C67">
            <v>0.2</v>
          </cell>
        </row>
        <row r="68">
          <cell r="C68">
            <v>0.2</v>
          </cell>
        </row>
        <row r="69">
          <cell r="C69">
            <v>0.1</v>
          </cell>
        </row>
        <row r="70">
          <cell r="C70">
            <v>0.2</v>
          </cell>
        </row>
        <row r="71">
          <cell r="C71">
            <v>390</v>
          </cell>
        </row>
        <row r="72">
          <cell r="C72">
            <v>30</v>
          </cell>
        </row>
        <row r="73">
          <cell r="C73">
            <v>100</v>
          </cell>
        </row>
        <row r="74">
          <cell r="C74">
            <v>200</v>
          </cell>
        </row>
        <row r="75">
          <cell r="C75">
            <v>65</v>
          </cell>
        </row>
        <row r="76">
          <cell r="C76">
            <v>1</v>
          </cell>
        </row>
        <row r="77">
          <cell r="C77">
            <v>0.12</v>
          </cell>
        </row>
        <row r="78">
          <cell r="C78">
            <v>0.92</v>
          </cell>
        </row>
        <row r="79">
          <cell r="C79">
            <v>0.76</v>
          </cell>
        </row>
        <row r="80">
          <cell r="C80">
            <v>0.90900000000000003</v>
          </cell>
        </row>
        <row r="81">
          <cell r="C81">
            <v>6.0000000000000001E-3</v>
          </cell>
        </row>
        <row r="82">
          <cell r="C82">
            <v>0.7</v>
          </cell>
        </row>
        <row r="83">
          <cell r="C83">
            <v>0.3</v>
          </cell>
        </row>
        <row r="84">
          <cell r="C84">
            <v>0.87</v>
          </cell>
        </row>
        <row r="85">
          <cell r="C85">
            <v>0.66</v>
          </cell>
        </row>
        <row r="86">
          <cell r="C86">
            <v>0.56000000000000005</v>
          </cell>
        </row>
        <row r="87">
          <cell r="C87">
            <v>0.51</v>
          </cell>
        </row>
        <row r="88">
          <cell r="C88">
            <v>0.56000000000000005</v>
          </cell>
        </row>
        <row r="89">
          <cell r="C89">
            <v>0.54</v>
          </cell>
        </row>
        <row r="90">
          <cell r="C90">
            <v>0.24</v>
          </cell>
        </row>
        <row r="91">
          <cell r="C91">
            <v>0.4</v>
          </cell>
        </row>
        <row r="93">
          <cell r="C93">
            <v>2E-3</v>
          </cell>
        </row>
        <row r="94">
          <cell r="C94">
            <v>24</v>
          </cell>
        </row>
        <row r="95">
          <cell r="C95">
            <v>8.9999999999999995E-9</v>
          </cell>
        </row>
        <row r="96">
          <cell r="C96">
            <v>0.4</v>
          </cell>
        </row>
        <row r="97">
          <cell r="C97">
            <v>0.8</v>
          </cell>
        </row>
        <row r="98">
          <cell r="C98">
            <v>0.6</v>
          </cell>
        </row>
        <row r="99">
          <cell r="C99">
            <v>0.2</v>
          </cell>
        </row>
        <row r="100">
          <cell r="C100">
            <v>0.25</v>
          </cell>
        </row>
        <row r="101">
          <cell r="C101">
            <v>1</v>
          </cell>
        </row>
        <row r="102">
          <cell r="C102">
            <v>0.94599999999999995</v>
          </cell>
        </row>
        <row r="103">
          <cell r="C103">
            <v>31536000</v>
          </cell>
        </row>
      </sheetData>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abSelected="1" zoomScaleNormal="100" workbookViewId="0">
      <selection activeCell="C5" sqref="C5:E5"/>
    </sheetView>
  </sheetViews>
  <sheetFormatPr defaultRowHeight="11.25"/>
  <cols>
    <col min="1" max="1" width="9.33203125" style="102"/>
    <col min="2" max="2" width="13.5" style="102" customWidth="1"/>
    <col min="3" max="3" width="54.6640625" style="102" customWidth="1"/>
    <col min="4" max="4" width="17.5" style="102" customWidth="1"/>
    <col min="5" max="5" width="13.33203125" style="102" customWidth="1"/>
    <col min="6" max="16384" width="9.33203125" style="102"/>
  </cols>
  <sheetData>
    <row r="2" spans="2:5" ht="15.75">
      <c r="C2" s="105" t="s">
        <v>245</v>
      </c>
    </row>
    <row r="3" spans="2:5" ht="26.25">
      <c r="C3" s="106" t="s">
        <v>246</v>
      </c>
      <c r="E3" s="103"/>
    </row>
    <row r="4" spans="2:5" ht="15.75">
      <c r="B4" s="107"/>
    </row>
    <row r="5" spans="2:5" ht="49.5" customHeight="1">
      <c r="C5" s="119" t="s">
        <v>247</v>
      </c>
      <c r="D5" s="119"/>
      <c r="E5" s="119"/>
    </row>
    <row r="7" spans="2:5" ht="39" customHeight="1">
      <c r="C7" s="108" t="s">
        <v>251</v>
      </c>
      <c r="D7" s="109"/>
    </row>
    <row r="13" spans="2:5" ht="15.75">
      <c r="B13" s="104" t="s">
        <v>243</v>
      </c>
    </row>
    <row r="14" spans="2:5" ht="72.75" customHeight="1">
      <c r="B14" s="120" t="s">
        <v>244</v>
      </c>
      <c r="C14" s="120"/>
      <c r="D14" s="120"/>
      <c r="E14" s="120"/>
    </row>
    <row r="15" spans="2:5" ht="70.5" customHeight="1">
      <c r="B15" s="120" t="s">
        <v>248</v>
      </c>
      <c r="C15" s="120"/>
      <c r="D15" s="120"/>
      <c r="E15" s="120"/>
    </row>
    <row r="17" spans="2:3" ht="15.75">
      <c r="B17" s="110" t="s">
        <v>249</v>
      </c>
      <c r="C17" s="105"/>
    </row>
    <row r="18" spans="2:3" ht="15.75">
      <c r="B18" s="105"/>
      <c r="C18" s="105"/>
    </row>
    <row r="19" spans="2:3" ht="15.75">
      <c r="B19" s="105" t="s">
        <v>250</v>
      </c>
      <c r="C19" s="105"/>
    </row>
  </sheetData>
  <mergeCells count="3">
    <mergeCell ref="C5:E5"/>
    <mergeCell ref="B14:E14"/>
    <mergeCell ref="B15:E15"/>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9"/>
  <sheetViews>
    <sheetView workbookViewId="0"/>
  </sheetViews>
  <sheetFormatPr defaultRowHeight="11.25"/>
  <cols>
    <col min="1" max="1" width="9.33203125" style="2"/>
    <col min="2" max="2" width="16.33203125" style="2" customWidth="1"/>
    <col min="3" max="3" width="23" style="2" bestFit="1" customWidth="1"/>
    <col min="4" max="4" width="107.33203125" style="19" customWidth="1"/>
    <col min="5" max="16384" width="9.33203125" style="2"/>
  </cols>
  <sheetData>
    <row r="1" spans="1:4" ht="15.75">
      <c r="A1" s="23" t="s">
        <v>258</v>
      </c>
    </row>
    <row r="3" spans="1:4" ht="12.75">
      <c r="A3" s="30"/>
      <c r="B3" s="30"/>
      <c r="C3" s="30"/>
      <c r="D3" s="31" t="s">
        <v>0</v>
      </c>
    </row>
    <row r="4" spans="1:4" ht="39" customHeight="1">
      <c r="D4" s="18" t="s">
        <v>257</v>
      </c>
    </row>
    <row r="5" spans="1:4" ht="37.5" customHeight="1">
      <c r="D5" s="18" t="s">
        <v>266</v>
      </c>
    </row>
    <row r="6" spans="1:4">
      <c r="D6" s="18" t="s">
        <v>298</v>
      </c>
    </row>
    <row r="7" spans="1:4" ht="12.75">
      <c r="A7" s="32" t="s">
        <v>1</v>
      </c>
      <c r="B7" s="30"/>
      <c r="C7" s="30"/>
      <c r="D7" s="20"/>
    </row>
    <row r="8" spans="1:4">
      <c r="B8" s="24" t="s">
        <v>15</v>
      </c>
      <c r="C8" s="25" t="s">
        <v>267</v>
      </c>
      <c r="D8" s="26" t="s">
        <v>2</v>
      </c>
    </row>
    <row r="9" spans="1:4" ht="33.75">
      <c r="C9" s="27" t="s">
        <v>3</v>
      </c>
      <c r="D9" s="19" t="s">
        <v>268</v>
      </c>
    </row>
    <row r="10" spans="1:4">
      <c r="A10" s="121" t="s">
        <v>44</v>
      </c>
      <c r="B10" s="121"/>
      <c r="C10" s="21" t="s">
        <v>45</v>
      </c>
      <c r="D10" s="22" t="s">
        <v>34</v>
      </c>
    </row>
    <row r="11" spans="1:4">
      <c r="A11" s="121"/>
      <c r="B11" s="121"/>
      <c r="C11" s="21" t="s">
        <v>46</v>
      </c>
      <c r="D11" s="22" t="s">
        <v>269</v>
      </c>
    </row>
    <row r="12" spans="1:4" ht="11.25" customHeight="1">
      <c r="A12" s="122" t="s">
        <v>260</v>
      </c>
      <c r="B12" s="122"/>
      <c r="C12" s="116" t="s">
        <v>261</v>
      </c>
      <c r="D12" s="40" t="s">
        <v>271</v>
      </c>
    </row>
    <row r="13" spans="1:4">
      <c r="A13" s="123" t="s">
        <v>21</v>
      </c>
      <c r="B13" s="123"/>
      <c r="C13" s="33" t="s">
        <v>132</v>
      </c>
      <c r="D13" s="34" t="s">
        <v>270</v>
      </c>
    </row>
    <row r="14" spans="1:4">
      <c r="A14" s="123"/>
      <c r="B14" s="123"/>
      <c r="C14" s="33" t="s">
        <v>133</v>
      </c>
      <c r="D14" s="34" t="s">
        <v>155</v>
      </c>
    </row>
    <row r="16" spans="1:4" ht="12.75">
      <c r="A16" s="32" t="s">
        <v>4</v>
      </c>
      <c r="B16" s="30"/>
      <c r="C16" s="30"/>
      <c r="D16" s="20"/>
    </row>
    <row r="17" spans="1:4">
      <c r="A17" s="28" t="s">
        <v>5</v>
      </c>
      <c r="B17" s="28" t="s">
        <v>6</v>
      </c>
      <c r="C17" s="28" t="s">
        <v>7</v>
      </c>
      <c r="D17" s="26" t="s">
        <v>2</v>
      </c>
    </row>
    <row r="18" spans="1:4">
      <c r="A18" s="101" t="s">
        <v>241</v>
      </c>
      <c r="B18" s="29">
        <v>42487</v>
      </c>
      <c r="C18" s="2" t="s">
        <v>8</v>
      </c>
      <c r="D18" s="19" t="s">
        <v>242</v>
      </c>
    </row>
    <row r="19" spans="1:4">
      <c r="A19" s="101" t="s">
        <v>255</v>
      </c>
      <c r="B19" s="29">
        <v>43251</v>
      </c>
      <c r="C19" s="2" t="s">
        <v>256</v>
      </c>
      <c r="D19" s="19" t="s">
        <v>262</v>
      </c>
    </row>
  </sheetData>
  <mergeCells count="3">
    <mergeCell ref="A10:B11"/>
    <mergeCell ref="A12:B12"/>
    <mergeCell ref="A13:B14"/>
  </mergeCells>
  <phoneticPr fontId="0" type="noConversion"/>
  <hyperlinks>
    <hyperlink ref="C10" location="Nuke_home" display="Radionuclides"/>
    <hyperlink ref="C11" location="Other_home" display="Other parameters"/>
    <hyperlink ref="C14" location="Ind_nonreg_home" display="Collective doses"/>
    <hyperlink ref="C13" location="'Individual doses'!A1" display="Individual doses"/>
    <hyperlink ref="C12" location="'Intermediate calcs'!A1" display="Interim calcs"/>
  </hyperlinks>
  <pageMargins left="0.74803149606299213" right="0.74803149606299213" top="0.98425196850393704" bottom="0.98425196850393704" header="0.51181102362204722" footer="0.51181102362204722"/>
  <pageSetup paperSize="9" orientation="landscape" r:id="rId1"/>
  <headerFooter>
    <oddHeader>&amp;CANNEX A: METHODOLOGY FOR ESTIMATING PUBLIC EXPOSURES DUE TO RADIOACTIVE DISCHARGES</oddHeader>
    <oddFooter>&amp;L&amp;F#&amp;A&amp;CPage &amp;P of &amp;N&amp;RUNSCEAR 2016 Report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O51"/>
  <sheetViews>
    <sheetView zoomScaleNormal="100" workbookViewId="0">
      <pane xSplit="2" ySplit="8" topLeftCell="C9" activePane="bottomRight" state="frozen"/>
      <selection pane="topRight" activeCell="C1" sqref="C1"/>
      <selection pane="bottomLeft" activeCell="A9" sqref="A9"/>
      <selection pane="bottomRight"/>
    </sheetView>
  </sheetViews>
  <sheetFormatPr defaultRowHeight="11.25"/>
  <cols>
    <col min="1" max="8" width="9.33203125" style="6"/>
    <col min="9" max="9" width="10.83203125" style="6" customWidth="1"/>
    <col min="10" max="11" width="11.1640625" style="6" customWidth="1"/>
    <col min="12" max="12" width="10.83203125" style="6" customWidth="1"/>
    <col min="13" max="15" width="9.33203125" style="6"/>
    <col min="16" max="16" width="9.33203125" style="6" customWidth="1"/>
    <col min="17" max="16384" width="9.33203125" style="6"/>
  </cols>
  <sheetData>
    <row r="1" spans="1:15" ht="15.75">
      <c r="A1" s="5" t="s">
        <v>34</v>
      </c>
      <c r="B1" s="5"/>
    </row>
    <row r="2" spans="1:15">
      <c r="A2" s="3" t="s">
        <v>16</v>
      </c>
      <c r="B2" s="7"/>
    </row>
    <row r="4" spans="1:15" s="111" customFormat="1" ht="12.75">
      <c r="A4" s="8" t="s">
        <v>35</v>
      </c>
      <c r="B4" s="8"/>
      <c r="C4" s="8"/>
      <c r="D4" s="8"/>
      <c r="E4" s="8"/>
      <c r="F4" s="8"/>
      <c r="G4" s="8"/>
      <c r="H4" s="8"/>
      <c r="I4" s="8"/>
      <c r="J4" s="8"/>
      <c r="K4" s="8"/>
      <c r="L4" s="8"/>
      <c r="M4" s="8"/>
      <c r="N4" s="8"/>
      <c r="O4" s="8"/>
    </row>
    <row r="5" spans="1:15" ht="11.25" customHeight="1">
      <c r="D5" s="9"/>
      <c r="E5" s="124" t="s">
        <v>36</v>
      </c>
      <c r="F5" s="124"/>
      <c r="G5" s="124"/>
      <c r="H5" s="124"/>
      <c r="I5" s="124" t="s">
        <v>96</v>
      </c>
      <c r="J5" s="124"/>
      <c r="K5" s="124" t="s">
        <v>97</v>
      </c>
      <c r="L5" s="124"/>
    </row>
    <row r="6" spans="1:15" ht="22.5">
      <c r="A6" s="10" t="s">
        <v>37</v>
      </c>
      <c r="B6" s="10" t="s">
        <v>38</v>
      </c>
      <c r="C6" s="10" t="s">
        <v>39</v>
      </c>
      <c r="D6" s="9" t="s">
        <v>40</v>
      </c>
      <c r="E6" s="125" t="s">
        <v>238</v>
      </c>
      <c r="F6" s="125"/>
      <c r="G6" s="60" t="s">
        <v>228</v>
      </c>
      <c r="H6" s="60" t="s">
        <v>229</v>
      </c>
      <c r="I6" s="9" t="s">
        <v>230</v>
      </c>
      <c r="J6" s="9" t="s">
        <v>231</v>
      </c>
      <c r="K6" s="78" t="s">
        <v>234</v>
      </c>
      <c r="L6" s="78" t="s">
        <v>235</v>
      </c>
      <c r="M6" s="9" t="s">
        <v>232</v>
      </c>
      <c r="N6" s="126" t="s">
        <v>233</v>
      </c>
      <c r="O6" s="126"/>
    </row>
    <row r="7" spans="1:15" ht="22.5">
      <c r="A7" s="10"/>
      <c r="B7" s="10"/>
      <c r="C7" s="10"/>
      <c r="D7" s="10"/>
      <c r="G7" s="59" t="s">
        <v>299</v>
      </c>
      <c r="H7" s="60" t="s">
        <v>300</v>
      </c>
      <c r="I7" s="98" t="s">
        <v>301</v>
      </c>
      <c r="J7" s="99" t="s">
        <v>301</v>
      </c>
      <c r="K7" s="99" t="s">
        <v>301</v>
      </c>
      <c r="L7" s="99" t="s">
        <v>301</v>
      </c>
      <c r="M7" s="60" t="s">
        <v>302</v>
      </c>
    </row>
    <row r="8" spans="1:15" ht="26.25" customHeight="1">
      <c r="A8" s="10"/>
      <c r="B8" s="10"/>
      <c r="C8" s="10"/>
      <c r="D8" s="10"/>
      <c r="E8" s="60" t="s">
        <v>70</v>
      </c>
      <c r="F8" s="60" t="s">
        <v>265</v>
      </c>
      <c r="G8" s="60" t="s">
        <v>55</v>
      </c>
      <c r="H8" s="60" t="s">
        <v>42</v>
      </c>
      <c r="I8" s="60" t="s">
        <v>54</v>
      </c>
      <c r="J8" s="60" t="s">
        <v>54</v>
      </c>
      <c r="K8" s="60" t="s">
        <v>98</v>
      </c>
      <c r="L8" s="60" t="s">
        <v>98</v>
      </c>
      <c r="M8" s="9" t="s">
        <v>91</v>
      </c>
      <c r="N8" s="9" t="s">
        <v>143</v>
      </c>
      <c r="O8" s="64" t="s">
        <v>265</v>
      </c>
    </row>
    <row r="9" spans="1:15">
      <c r="A9" s="11" t="s">
        <v>108</v>
      </c>
      <c r="B9" s="11" t="s">
        <v>109</v>
      </c>
      <c r="C9" s="12" t="b">
        <f>TRUE</f>
        <v>1</v>
      </c>
      <c r="D9" s="12" t="b">
        <f>FALSE</f>
        <v>0</v>
      </c>
      <c r="E9" s="62">
        <v>15</v>
      </c>
      <c r="F9" s="52" t="s">
        <v>303</v>
      </c>
      <c r="G9" s="94">
        <v>9.3900000000000007E-16</v>
      </c>
      <c r="H9" s="96">
        <v>4.3000000000000001E-10</v>
      </c>
      <c r="I9" s="97">
        <v>0</v>
      </c>
      <c r="J9" s="97">
        <v>0</v>
      </c>
      <c r="K9" s="97">
        <v>2.08</v>
      </c>
      <c r="L9" s="97">
        <v>1.6800000000000001E-3</v>
      </c>
      <c r="M9" s="6">
        <v>0.54</v>
      </c>
      <c r="N9" s="66" t="e">
        <v>#N/A</v>
      </c>
      <c r="O9" s="56" t="e">
        <v>#N/A</v>
      </c>
    </row>
    <row r="10" spans="1:15">
      <c r="A10" s="11" t="s">
        <v>9</v>
      </c>
      <c r="B10" s="12"/>
      <c r="C10" s="12" t="b">
        <f>FALSE</f>
        <v>0</v>
      </c>
      <c r="D10" s="12" t="b">
        <f>FALSE</f>
        <v>0</v>
      </c>
      <c r="E10" s="13">
        <v>240</v>
      </c>
      <c r="F10" s="68" t="s">
        <v>304</v>
      </c>
      <c r="G10" s="94">
        <v>2.3300000000000001E-17</v>
      </c>
      <c r="H10" s="96">
        <v>1.9999999999999999E-7</v>
      </c>
      <c r="I10" s="97">
        <v>14800</v>
      </c>
      <c r="J10" s="97">
        <v>114000</v>
      </c>
      <c r="K10" s="97">
        <v>3.52</v>
      </c>
      <c r="L10" s="97">
        <v>1.9599999999999999E-3</v>
      </c>
      <c r="M10" s="6">
        <v>0.27</v>
      </c>
      <c r="N10" s="61">
        <v>120000</v>
      </c>
      <c r="O10" s="65" t="s">
        <v>304</v>
      </c>
    </row>
    <row r="11" spans="1:15">
      <c r="A11" s="11" t="s">
        <v>107</v>
      </c>
      <c r="B11" s="12"/>
      <c r="C11" s="12" t="b">
        <f>TRUE</f>
        <v>1</v>
      </c>
      <c r="D11" s="12" t="b">
        <f>FALSE</f>
        <v>0</v>
      </c>
      <c r="E11" s="13">
        <v>0</v>
      </c>
      <c r="F11" s="118" t="s">
        <v>310</v>
      </c>
      <c r="G11" s="94">
        <v>5.7900000000000004E-16</v>
      </c>
      <c r="H11" s="96">
        <v>0</v>
      </c>
      <c r="I11" s="97">
        <v>0.68</v>
      </c>
      <c r="J11" s="97">
        <v>13.3</v>
      </c>
      <c r="K11" s="97">
        <v>6.2400000000000002E-31</v>
      </c>
      <c r="L11" s="97">
        <v>3.6600000000000001E-13</v>
      </c>
      <c r="M11" s="15">
        <v>0</v>
      </c>
      <c r="N11" s="61">
        <v>2000</v>
      </c>
      <c r="O11" s="65" t="s">
        <v>304</v>
      </c>
    </row>
    <row r="12" spans="1:15">
      <c r="A12" s="11" t="s">
        <v>23</v>
      </c>
      <c r="B12" s="12"/>
      <c r="C12" s="12" t="b">
        <f>TRUE</f>
        <v>1</v>
      </c>
      <c r="D12" s="12" t="b">
        <f>FALSE</f>
        <v>0</v>
      </c>
      <c r="E12" s="13">
        <v>10</v>
      </c>
      <c r="F12" s="52" t="s">
        <v>303</v>
      </c>
      <c r="G12" s="94">
        <v>3.51E-17</v>
      </c>
      <c r="H12" s="96">
        <v>1.3000000000000001E-9</v>
      </c>
      <c r="I12" s="97">
        <v>0</v>
      </c>
      <c r="J12" s="97">
        <v>0</v>
      </c>
      <c r="K12" s="97">
        <v>4.8300000000000003E-2</v>
      </c>
      <c r="L12" s="97">
        <v>3.97E-4</v>
      </c>
      <c r="M12" s="6">
        <f>M25</f>
        <v>0.54</v>
      </c>
      <c r="N12" s="66" t="e">
        <v>#N/A</v>
      </c>
      <c r="O12" s="56" t="e">
        <v>#N/A</v>
      </c>
    </row>
    <row r="13" spans="1:15">
      <c r="A13" s="11" t="s">
        <v>27</v>
      </c>
      <c r="B13" s="14" t="s">
        <v>28</v>
      </c>
      <c r="C13" s="12" t="b">
        <f>TRUE</f>
        <v>1</v>
      </c>
      <c r="D13" s="12" t="b">
        <f>FALSE</f>
        <v>0</v>
      </c>
      <c r="E13" s="13">
        <v>10</v>
      </c>
      <c r="F13" s="52" t="s">
        <v>303</v>
      </c>
      <c r="G13" s="94">
        <v>1.4399999999999999E-15</v>
      </c>
      <c r="H13" s="96">
        <v>1.0999999999999999E-10</v>
      </c>
      <c r="I13" s="97">
        <v>5.43</v>
      </c>
      <c r="J13" s="97">
        <v>104</v>
      </c>
      <c r="K13" s="97">
        <v>8.1699999999999997E-6</v>
      </c>
      <c r="L13" s="97">
        <v>2.4600000000000002E-5</v>
      </c>
      <c r="M13" s="6">
        <f>M27</f>
        <v>0.54</v>
      </c>
      <c r="N13" s="66" t="e">
        <v>#N/A</v>
      </c>
      <c r="O13" s="56" t="e">
        <v>#N/A</v>
      </c>
    </row>
    <row r="14" spans="1:15">
      <c r="A14" s="11" t="s">
        <v>10</v>
      </c>
      <c r="B14" s="12"/>
      <c r="C14" s="12" t="b">
        <f>FALSE</f>
        <v>0</v>
      </c>
      <c r="D14" s="12" t="b">
        <f>FALSE</f>
        <v>0</v>
      </c>
      <c r="E14" s="13">
        <v>400000</v>
      </c>
      <c r="F14" s="52" t="s">
        <v>304</v>
      </c>
      <c r="G14" s="94">
        <v>1.27E-20</v>
      </c>
      <c r="H14" s="96">
        <v>5.7999999999999996E-10</v>
      </c>
      <c r="I14" s="66" t="e">
        <v>#N/A</v>
      </c>
      <c r="J14" s="66" t="e">
        <v>#N/A</v>
      </c>
      <c r="K14" s="97">
        <v>4.9899999999999999E-4</v>
      </c>
      <c r="L14" s="97">
        <v>4.9799999999999998E-6</v>
      </c>
      <c r="M14" s="6">
        <v>1</v>
      </c>
      <c r="N14" s="61">
        <v>5</v>
      </c>
      <c r="O14" s="65" t="s">
        <v>303</v>
      </c>
    </row>
    <row r="15" spans="1:15">
      <c r="A15" s="11" t="s">
        <v>236</v>
      </c>
      <c r="B15" s="12"/>
      <c r="C15" s="12" t="b">
        <f>FALSE</f>
        <v>0</v>
      </c>
      <c r="D15" s="12" t="b">
        <f>FALSE</f>
        <v>0</v>
      </c>
      <c r="E15" s="13">
        <v>76</v>
      </c>
      <c r="F15" s="52" t="s">
        <v>304</v>
      </c>
      <c r="G15" s="94">
        <v>9.2500000000000004E-16</v>
      </c>
      <c r="H15" s="96">
        <v>7.4000000000000003E-10</v>
      </c>
      <c r="I15" s="97">
        <v>53200</v>
      </c>
      <c r="J15" s="97">
        <v>92600</v>
      </c>
      <c r="K15" s="97">
        <v>2.33</v>
      </c>
      <c r="L15" s="97">
        <v>1.91E-3</v>
      </c>
      <c r="M15" s="6">
        <v>0.54</v>
      </c>
      <c r="N15" s="61">
        <v>44000</v>
      </c>
      <c r="O15" s="65" t="s">
        <v>304</v>
      </c>
    </row>
    <row r="16" spans="1:15">
      <c r="A16" s="11" t="s">
        <v>11</v>
      </c>
      <c r="B16" s="12"/>
      <c r="C16" s="12" t="b">
        <f>FALSE</f>
        <v>0</v>
      </c>
      <c r="D16" s="12" t="b">
        <f>FALSE</f>
        <v>0</v>
      </c>
      <c r="E16" s="13">
        <v>76</v>
      </c>
      <c r="F16" s="52" t="s">
        <v>304</v>
      </c>
      <c r="G16" s="94">
        <v>2.2999999999999999E-15</v>
      </c>
      <c r="H16" s="96">
        <v>3.3999999999999998E-9</v>
      </c>
      <c r="I16" s="97">
        <v>106000</v>
      </c>
      <c r="J16" s="97">
        <v>149000</v>
      </c>
      <c r="K16" s="97">
        <v>2.34</v>
      </c>
      <c r="L16" s="97">
        <v>1.91E-3</v>
      </c>
      <c r="M16" s="6">
        <v>0.54</v>
      </c>
      <c r="N16" s="61">
        <v>44000</v>
      </c>
      <c r="O16" s="65" t="s">
        <v>304</v>
      </c>
    </row>
    <row r="17" spans="1:15">
      <c r="A17" s="11" t="s">
        <v>177</v>
      </c>
      <c r="B17" s="12"/>
      <c r="C17" s="12" t="b">
        <f>FALSE</f>
        <v>0</v>
      </c>
      <c r="D17" s="12" t="b">
        <f>FALSE</f>
        <v>0</v>
      </c>
      <c r="E17" s="13">
        <v>2500</v>
      </c>
      <c r="F17" s="52" t="s">
        <v>304</v>
      </c>
      <c r="G17" s="63">
        <v>1.48E-15</v>
      </c>
      <c r="H17" s="96">
        <v>1.9000000000000001E-8</v>
      </c>
      <c r="I17" s="97">
        <v>491000</v>
      </c>
      <c r="J17" s="97">
        <v>137000</v>
      </c>
      <c r="K17" s="97">
        <v>1.83</v>
      </c>
      <c r="L17" s="97">
        <v>1.8699999999999999E-3</v>
      </c>
      <c r="M17" s="6">
        <v>0.81</v>
      </c>
      <c r="N17" s="61">
        <v>29000</v>
      </c>
      <c r="O17" s="65" t="s">
        <v>304</v>
      </c>
    </row>
    <row r="18" spans="1:15">
      <c r="A18" s="11" t="s">
        <v>12</v>
      </c>
      <c r="B18" s="12" t="s">
        <v>107</v>
      </c>
      <c r="C18" s="12" t="b">
        <f>FALSE</f>
        <v>0</v>
      </c>
      <c r="D18" s="12" t="b">
        <f>FALSE</f>
        <v>0</v>
      </c>
      <c r="E18" s="13">
        <v>2500</v>
      </c>
      <c r="F18" s="52" t="s">
        <v>304</v>
      </c>
      <c r="G18" s="94">
        <v>2.9899999999999999E-18</v>
      </c>
      <c r="H18" s="96">
        <v>1.3000000000000001E-8</v>
      </c>
      <c r="I18" s="97">
        <v>589000</v>
      </c>
      <c r="J18" s="97">
        <v>219000</v>
      </c>
      <c r="K18" s="97">
        <v>1.83</v>
      </c>
      <c r="L18" s="97">
        <v>1.8699999999999999E-3</v>
      </c>
      <c r="M18" s="6">
        <v>0.81</v>
      </c>
      <c r="N18" s="61">
        <v>29000</v>
      </c>
      <c r="O18" s="65" t="s">
        <v>304</v>
      </c>
    </row>
    <row r="19" spans="1:15">
      <c r="A19" s="11" t="s">
        <v>33</v>
      </c>
      <c r="B19" s="12"/>
      <c r="C19" s="12" t="b">
        <f>FALSE</f>
        <v>0</v>
      </c>
      <c r="D19" s="12" t="b">
        <f>FALSE</f>
        <v>0</v>
      </c>
      <c r="E19" s="13">
        <v>1</v>
      </c>
      <c r="F19" s="52" t="s">
        <v>305</v>
      </c>
      <c r="G19" s="94">
        <v>0</v>
      </c>
      <c r="H19" s="96">
        <v>1.7999999999999999E-11</v>
      </c>
      <c r="I19" s="66" t="e">
        <v>#N/A</v>
      </c>
      <c r="J19" s="66" t="e">
        <v>#N/A</v>
      </c>
      <c r="K19" s="97">
        <v>0</v>
      </c>
      <c r="L19" s="97">
        <v>0</v>
      </c>
      <c r="M19" s="6">
        <v>1</v>
      </c>
      <c r="N19" s="61">
        <v>0</v>
      </c>
      <c r="O19" s="65" t="s">
        <v>303</v>
      </c>
    </row>
    <row r="20" spans="1:15">
      <c r="A20" s="11" t="s">
        <v>43</v>
      </c>
      <c r="B20" s="12"/>
      <c r="C20" s="12" t="b">
        <f>FALSE</f>
        <v>0</v>
      </c>
      <c r="D20" s="12" t="b">
        <f>FALSE</f>
        <v>0</v>
      </c>
      <c r="E20" s="13">
        <v>1</v>
      </c>
      <c r="F20" s="52" t="s">
        <v>305</v>
      </c>
      <c r="G20" s="94">
        <v>0</v>
      </c>
      <c r="H20" s="96">
        <v>4.1999999999999997E-11</v>
      </c>
      <c r="I20" s="66" t="e">
        <v>#N/A</v>
      </c>
      <c r="J20" s="66" t="e">
        <v>#N/A</v>
      </c>
      <c r="K20" s="97">
        <v>0</v>
      </c>
      <c r="L20" s="97">
        <v>0</v>
      </c>
      <c r="M20" s="6">
        <v>1</v>
      </c>
      <c r="N20" s="61">
        <v>0</v>
      </c>
      <c r="O20" s="65" t="s">
        <v>303</v>
      </c>
    </row>
    <row r="21" spans="1:15">
      <c r="A21" s="6" t="s">
        <v>67</v>
      </c>
      <c r="C21" s="12" t="b">
        <f>FALSE</f>
        <v>0</v>
      </c>
      <c r="D21" s="12" t="b">
        <f>FALSE</f>
        <v>0</v>
      </c>
      <c r="E21" s="61">
        <v>30</v>
      </c>
      <c r="F21" s="52" t="s">
        <v>304</v>
      </c>
      <c r="G21" s="94">
        <v>1.9499999999999999E-17</v>
      </c>
      <c r="H21" s="53">
        <v>1.1000000000000001E-7</v>
      </c>
      <c r="I21" s="97">
        <v>603000</v>
      </c>
      <c r="J21" s="97">
        <v>231000</v>
      </c>
      <c r="K21" s="97">
        <v>0.40400000000000003</v>
      </c>
      <c r="L21" s="97">
        <v>1.3699999999999999E-3</v>
      </c>
      <c r="M21" s="6">
        <v>0.81</v>
      </c>
      <c r="N21" s="61">
        <v>4400</v>
      </c>
      <c r="O21" s="65" t="s">
        <v>304</v>
      </c>
    </row>
    <row r="22" spans="1:15">
      <c r="A22" s="6" t="s">
        <v>239</v>
      </c>
      <c r="C22" s="12" t="b">
        <f>FALSE</f>
        <v>0</v>
      </c>
      <c r="D22" s="12" t="b">
        <f>FALSE</f>
        <v>0</v>
      </c>
      <c r="E22" s="61">
        <v>30</v>
      </c>
      <c r="F22" s="52" t="s">
        <v>304</v>
      </c>
      <c r="G22" s="95">
        <v>3.64E-16</v>
      </c>
      <c r="H22" s="53">
        <v>2.0000000000000001E-9</v>
      </c>
      <c r="I22" s="97">
        <v>42200</v>
      </c>
      <c r="J22" s="97">
        <v>41200</v>
      </c>
      <c r="K22" s="97">
        <v>0.39800000000000002</v>
      </c>
      <c r="L22" s="97">
        <v>1.3699999999999999E-3</v>
      </c>
      <c r="M22" s="6">
        <v>0.81</v>
      </c>
      <c r="N22" s="61">
        <v>4400</v>
      </c>
      <c r="O22" s="65" t="s">
        <v>304</v>
      </c>
    </row>
    <row r="23" spans="1:15">
      <c r="A23" s="6" t="s">
        <v>237</v>
      </c>
      <c r="C23" s="12" t="b">
        <f>FALSE</f>
        <v>0</v>
      </c>
      <c r="D23" s="12" t="b">
        <f>FALSE</f>
        <v>0</v>
      </c>
      <c r="E23" s="61">
        <v>240</v>
      </c>
      <c r="F23" s="52" t="s">
        <v>304</v>
      </c>
      <c r="G23" s="63">
        <v>7.9100000000000003E-16</v>
      </c>
      <c r="H23" s="53">
        <v>7.1000000000000003E-10</v>
      </c>
      <c r="I23" s="97">
        <v>86200</v>
      </c>
      <c r="J23" s="97">
        <v>129000</v>
      </c>
      <c r="K23" s="97">
        <v>3.06</v>
      </c>
      <c r="L23" s="97">
        <v>1.9499999999999999E-3</v>
      </c>
      <c r="M23" s="6">
        <v>0.36</v>
      </c>
      <c r="N23" s="61">
        <v>79000</v>
      </c>
      <c r="O23" s="65" t="s">
        <v>304</v>
      </c>
    </row>
    <row r="24" spans="1:15">
      <c r="A24" s="11" t="s">
        <v>32</v>
      </c>
      <c r="B24" s="12" t="s">
        <v>111</v>
      </c>
      <c r="C24" s="12" t="b">
        <f>TRUE</f>
        <v>1</v>
      </c>
      <c r="D24" s="12" t="b">
        <f>FALSE</f>
        <v>0</v>
      </c>
      <c r="E24" s="13">
        <v>10</v>
      </c>
      <c r="F24" s="52" t="s">
        <v>303</v>
      </c>
      <c r="G24" s="94">
        <v>1.08E-16</v>
      </c>
      <c r="H24" s="96">
        <v>0</v>
      </c>
      <c r="I24" s="97">
        <v>0</v>
      </c>
      <c r="J24" s="97">
        <v>0</v>
      </c>
      <c r="K24" s="97">
        <v>2.16E-65</v>
      </c>
      <c r="L24" s="97">
        <v>3.7300000000000001E-24</v>
      </c>
      <c r="M24" s="6">
        <f>M43</f>
        <v>0.3</v>
      </c>
      <c r="N24" s="66" t="e">
        <v>#N/A</v>
      </c>
      <c r="O24" s="56" t="e">
        <v>#N/A</v>
      </c>
    </row>
    <row r="25" spans="1:15">
      <c r="A25" s="15" t="s">
        <v>22</v>
      </c>
      <c r="B25" s="16" t="s">
        <v>23</v>
      </c>
      <c r="C25" s="12" t="b">
        <f>TRUE</f>
        <v>1</v>
      </c>
      <c r="D25" s="12" t="b">
        <f>FALSE</f>
        <v>0</v>
      </c>
      <c r="E25" s="13">
        <v>25</v>
      </c>
      <c r="F25" s="52" t="s">
        <v>304</v>
      </c>
      <c r="G25" s="94">
        <v>2.1299999999999998E-18</v>
      </c>
      <c r="H25" s="96">
        <v>6.8999999999999996E-7</v>
      </c>
      <c r="I25" s="97">
        <v>41100</v>
      </c>
      <c r="J25" s="97">
        <v>140000</v>
      </c>
      <c r="K25" s="97">
        <v>0.83199999999999996</v>
      </c>
      <c r="L25" s="97">
        <v>1.66E-3</v>
      </c>
      <c r="M25" s="6">
        <v>0.54</v>
      </c>
      <c r="N25" s="61">
        <v>10000</v>
      </c>
      <c r="O25" s="65" t="s">
        <v>306</v>
      </c>
    </row>
    <row r="26" spans="1:15">
      <c r="A26" s="15" t="s">
        <v>110</v>
      </c>
      <c r="B26" s="16"/>
      <c r="C26" s="12" t="b">
        <f>TRUE</f>
        <v>1</v>
      </c>
      <c r="D26" s="12" t="b">
        <f>FALSE</f>
        <v>0</v>
      </c>
      <c r="E26" s="13">
        <v>25</v>
      </c>
      <c r="F26" s="52" t="s">
        <v>304</v>
      </c>
      <c r="G26" s="94">
        <v>1.35E-16</v>
      </c>
      <c r="H26" s="96">
        <v>6E-9</v>
      </c>
      <c r="I26" s="97">
        <v>163</v>
      </c>
      <c r="J26" s="97">
        <v>3220</v>
      </c>
      <c r="K26" s="97">
        <v>0.63400000000000001</v>
      </c>
      <c r="L26" s="97">
        <v>1.5299999999999999E-3</v>
      </c>
      <c r="M26" s="6">
        <v>0.54</v>
      </c>
      <c r="N26" s="61">
        <v>10000</v>
      </c>
      <c r="O26" s="65" t="s">
        <v>306</v>
      </c>
    </row>
    <row r="27" spans="1:15">
      <c r="A27" s="15" t="s">
        <v>26</v>
      </c>
      <c r="B27" s="16" t="s">
        <v>27</v>
      </c>
      <c r="C27" s="17" t="b">
        <f>TRUE</f>
        <v>1</v>
      </c>
      <c r="D27" s="12" t="b">
        <f>FALSE</f>
        <v>0</v>
      </c>
      <c r="E27" s="13">
        <v>25</v>
      </c>
      <c r="F27" s="52" t="s">
        <v>304</v>
      </c>
      <c r="G27" s="94">
        <v>2.4E-16</v>
      </c>
      <c r="H27" s="96">
        <v>1.4000000000000001E-10</v>
      </c>
      <c r="I27" s="97">
        <v>7.02</v>
      </c>
      <c r="J27" s="97">
        <v>139</v>
      </c>
      <c r="K27" s="97">
        <v>1.2999999999999999E-3</v>
      </c>
      <c r="L27" s="97">
        <v>2.1000000000000001E-4</v>
      </c>
      <c r="M27" s="6">
        <v>0.54</v>
      </c>
      <c r="N27" s="61">
        <v>10000</v>
      </c>
      <c r="O27" s="65" t="s">
        <v>306</v>
      </c>
    </row>
    <row r="28" spans="1:15">
      <c r="A28" s="15" t="s">
        <v>19</v>
      </c>
      <c r="B28" s="17"/>
      <c r="C28" s="17" t="b">
        <f>FALSE</f>
        <v>0</v>
      </c>
      <c r="D28" s="12" t="b">
        <f>FALSE</f>
        <v>0</v>
      </c>
      <c r="E28" s="13">
        <v>36</v>
      </c>
      <c r="F28" s="52" t="s">
        <v>304</v>
      </c>
      <c r="G28" s="94">
        <v>8.0900000000000004E-21</v>
      </c>
      <c r="H28" s="96">
        <v>1.1999999999999999E-6</v>
      </c>
      <c r="I28" s="97">
        <v>4940</v>
      </c>
      <c r="J28" s="97">
        <v>95100</v>
      </c>
      <c r="K28" s="97">
        <v>2.2200000000000002</v>
      </c>
      <c r="L28" s="97">
        <v>1.9E-3</v>
      </c>
      <c r="M28" s="6">
        <v>0.54</v>
      </c>
      <c r="N28" s="61">
        <v>40000</v>
      </c>
      <c r="O28" s="65" t="s">
        <v>307</v>
      </c>
    </row>
    <row r="29" spans="1:15">
      <c r="A29" s="15" t="s">
        <v>28</v>
      </c>
      <c r="B29" s="17"/>
      <c r="C29" s="17" t="b">
        <f>TRUE</f>
        <v>1</v>
      </c>
      <c r="D29" s="12" t="b">
        <f>FALSE</f>
        <v>0</v>
      </c>
      <c r="E29" s="13">
        <v>36</v>
      </c>
      <c r="F29" s="52" t="s">
        <v>304</v>
      </c>
      <c r="G29" s="94">
        <v>7.9299999999999996E-20</v>
      </c>
      <c r="H29" s="96">
        <v>0</v>
      </c>
      <c r="I29" s="97">
        <v>0</v>
      </c>
      <c r="J29" s="97">
        <v>0</v>
      </c>
      <c r="K29" s="97">
        <v>0</v>
      </c>
      <c r="L29" s="97">
        <v>0</v>
      </c>
      <c r="M29" s="6">
        <v>0.54</v>
      </c>
      <c r="N29" s="61">
        <v>40000</v>
      </c>
      <c r="O29" s="65" t="s">
        <v>307</v>
      </c>
    </row>
    <row r="30" spans="1:15">
      <c r="A30" s="15" t="s">
        <v>25</v>
      </c>
      <c r="B30" s="16" t="s">
        <v>26</v>
      </c>
      <c r="C30" s="17" t="b">
        <f>TRUE</f>
        <v>1</v>
      </c>
      <c r="D30" s="12" t="b">
        <f>FALSE</f>
        <v>0</v>
      </c>
      <c r="E30" s="13">
        <v>36</v>
      </c>
      <c r="F30" s="52" t="s">
        <v>304</v>
      </c>
      <c r="G30" s="94">
        <v>8.6600000000000004E-21</v>
      </c>
      <c r="H30" s="96">
        <v>0</v>
      </c>
      <c r="I30" s="97">
        <v>0</v>
      </c>
      <c r="J30" s="97">
        <v>0</v>
      </c>
      <c r="K30" s="97">
        <v>4.6599999999999997E-25</v>
      </c>
      <c r="L30" s="97">
        <v>2.4099999999999999E-11</v>
      </c>
      <c r="M30" s="6">
        <v>0.54</v>
      </c>
      <c r="N30" s="61">
        <v>40000</v>
      </c>
      <c r="O30" s="65" t="s">
        <v>307</v>
      </c>
    </row>
    <row r="31" spans="1:15">
      <c r="A31" s="15" t="s">
        <v>13</v>
      </c>
      <c r="B31" s="17"/>
      <c r="C31" s="17" t="b">
        <f>FALSE</f>
        <v>0</v>
      </c>
      <c r="D31" s="12" t="b">
        <f>FALSE</f>
        <v>0</v>
      </c>
      <c r="E31" s="13">
        <v>30</v>
      </c>
      <c r="F31" s="52" t="s">
        <v>303</v>
      </c>
      <c r="G31" s="94">
        <v>2.8399999999999999E-19</v>
      </c>
      <c r="H31" s="96">
        <v>2.4999999999999999E-7</v>
      </c>
      <c r="I31" s="97">
        <v>10400</v>
      </c>
      <c r="J31" s="97">
        <v>110000</v>
      </c>
      <c r="K31" s="97">
        <v>4.13</v>
      </c>
      <c r="L31" s="97">
        <v>1.98E-3</v>
      </c>
      <c r="M31" s="6">
        <v>0.27</v>
      </c>
      <c r="N31" s="61">
        <v>240000</v>
      </c>
      <c r="O31" s="65" t="s">
        <v>304</v>
      </c>
    </row>
    <row r="32" spans="1:15">
      <c r="A32" s="15" t="s">
        <v>18</v>
      </c>
      <c r="B32" s="17"/>
      <c r="C32" s="17" t="b">
        <f>FALSE</f>
        <v>0</v>
      </c>
      <c r="D32" s="12" t="b">
        <f>FALSE</f>
        <v>0</v>
      </c>
      <c r="E32" s="13">
        <v>30</v>
      </c>
      <c r="F32" s="52" t="s">
        <v>303</v>
      </c>
      <c r="G32" s="94">
        <v>6.0100000000000002E-19</v>
      </c>
      <c r="H32" s="96">
        <v>2.4999999999999999E-7</v>
      </c>
      <c r="I32" s="97">
        <v>10400</v>
      </c>
      <c r="J32" s="97">
        <v>110000</v>
      </c>
      <c r="K32" s="97">
        <v>4.13</v>
      </c>
      <c r="L32" s="97">
        <v>1.98E-3</v>
      </c>
      <c r="M32" s="6">
        <v>0.27</v>
      </c>
      <c r="N32" s="61">
        <v>240000</v>
      </c>
      <c r="O32" s="65" t="s">
        <v>304</v>
      </c>
    </row>
    <row r="33" spans="1:15">
      <c r="A33" s="15" t="s">
        <v>14</v>
      </c>
      <c r="B33" s="17"/>
      <c r="C33" s="17" t="b">
        <f>FALSE</f>
        <v>0</v>
      </c>
      <c r="D33" s="12" t="b">
        <f>FALSE</f>
        <v>0</v>
      </c>
      <c r="E33" s="13">
        <v>4</v>
      </c>
      <c r="F33" s="52" t="s">
        <v>304</v>
      </c>
      <c r="G33" s="94">
        <v>6.1099999999999998E-18</v>
      </c>
      <c r="H33" s="96">
        <v>2.8000000000000002E-7</v>
      </c>
      <c r="I33" s="97">
        <v>263000</v>
      </c>
      <c r="J33" s="97">
        <v>304000</v>
      </c>
      <c r="K33" s="97">
        <v>0.64400000000000002</v>
      </c>
      <c r="L33" s="97">
        <v>1.57E-3</v>
      </c>
      <c r="M33" s="6">
        <v>0.54</v>
      </c>
      <c r="N33" s="61">
        <v>7400</v>
      </c>
      <c r="O33" s="65" t="s">
        <v>304</v>
      </c>
    </row>
    <row r="34" spans="1:15">
      <c r="A34" s="15" t="s">
        <v>29</v>
      </c>
      <c r="B34" s="17" t="s">
        <v>108</v>
      </c>
      <c r="C34" s="17" t="b">
        <f>TRUE</f>
        <v>1</v>
      </c>
      <c r="D34" s="12" t="b">
        <f>FALSE</f>
        <v>0</v>
      </c>
      <c r="E34" s="13">
        <v>4</v>
      </c>
      <c r="F34" s="52" t="s">
        <v>304</v>
      </c>
      <c r="G34" s="94">
        <v>0</v>
      </c>
      <c r="H34" s="96">
        <v>6.8999999999999996E-7</v>
      </c>
      <c r="I34" s="97">
        <v>87600</v>
      </c>
      <c r="J34" s="97">
        <v>131000</v>
      </c>
      <c r="K34" s="97">
        <v>0.64400000000000002</v>
      </c>
      <c r="L34" s="97">
        <v>1.57E-3</v>
      </c>
      <c r="M34" s="6">
        <v>0.54</v>
      </c>
      <c r="N34" s="61">
        <v>7400</v>
      </c>
      <c r="O34" s="65" t="s">
        <v>304</v>
      </c>
    </row>
    <row r="35" spans="1:15">
      <c r="A35" s="15" t="s">
        <v>106</v>
      </c>
      <c r="B35" s="17"/>
      <c r="C35" s="17" t="b">
        <f>TRUE</f>
        <v>1</v>
      </c>
      <c r="D35" s="12" t="b">
        <f>FALSE</f>
        <v>0</v>
      </c>
      <c r="E35" s="13">
        <v>0</v>
      </c>
      <c r="F35" s="118" t="s">
        <v>310</v>
      </c>
      <c r="G35" s="94">
        <v>3.4499999999999999E-16</v>
      </c>
      <c r="H35" s="96">
        <v>0</v>
      </c>
      <c r="I35" s="97">
        <v>0</v>
      </c>
      <c r="J35" s="97">
        <v>0</v>
      </c>
      <c r="K35" s="97">
        <v>9.2900000000000002E-153</v>
      </c>
      <c r="L35" s="97">
        <v>3.1299999999999999E-52</v>
      </c>
      <c r="M35" s="15">
        <v>0</v>
      </c>
      <c r="N35" s="66" t="e">
        <v>#N/A</v>
      </c>
      <c r="O35" s="56" t="e">
        <v>#N/A</v>
      </c>
    </row>
    <row r="36" spans="1:15">
      <c r="A36" s="15" t="s">
        <v>24</v>
      </c>
      <c r="B36" s="16" t="s">
        <v>25</v>
      </c>
      <c r="C36" s="17" t="b">
        <f>FALSE</f>
        <v>0</v>
      </c>
      <c r="D36" s="12" t="b">
        <f>TRUE</f>
        <v>1</v>
      </c>
      <c r="E36" s="13">
        <v>0</v>
      </c>
      <c r="F36" s="117" t="s">
        <v>309</v>
      </c>
      <c r="G36" s="94">
        <v>3.8200000000000002E-19</v>
      </c>
      <c r="H36" s="96">
        <v>0</v>
      </c>
      <c r="I36" s="97">
        <v>0</v>
      </c>
      <c r="J36" s="97">
        <v>0</v>
      </c>
      <c r="K36" s="97">
        <v>0</v>
      </c>
      <c r="L36" s="97">
        <v>0</v>
      </c>
      <c r="M36" s="6">
        <v>0</v>
      </c>
      <c r="N36" s="66" t="e">
        <v>#N/A</v>
      </c>
      <c r="O36" s="56" t="e">
        <v>#N/A</v>
      </c>
    </row>
    <row r="37" spans="1:15">
      <c r="A37" s="6" t="s">
        <v>66</v>
      </c>
      <c r="B37" s="6" t="s">
        <v>106</v>
      </c>
      <c r="C37" s="12" t="b">
        <f>FALSE</f>
        <v>0</v>
      </c>
      <c r="D37" s="12" t="b">
        <f>FALSE</f>
        <v>0</v>
      </c>
      <c r="E37" s="61">
        <v>55</v>
      </c>
      <c r="F37" s="52" t="s">
        <v>304</v>
      </c>
      <c r="G37" s="94">
        <v>0</v>
      </c>
      <c r="H37" s="53">
        <v>6.9999999999999998E-9</v>
      </c>
      <c r="I37" s="97">
        <v>9780</v>
      </c>
      <c r="J37" s="97">
        <v>104000</v>
      </c>
      <c r="K37" s="97">
        <v>1.95</v>
      </c>
      <c r="L37" s="97">
        <v>1.8799999999999999E-3</v>
      </c>
      <c r="M37" s="6">
        <v>0.54</v>
      </c>
      <c r="N37" s="61">
        <v>32000</v>
      </c>
      <c r="O37" s="65" t="s">
        <v>304</v>
      </c>
    </row>
    <row r="38" spans="1:15">
      <c r="A38" s="6" t="s">
        <v>240</v>
      </c>
      <c r="C38" s="12" t="b">
        <f>FALSE</f>
        <v>0</v>
      </c>
      <c r="D38" s="12" t="b">
        <f>FALSE</f>
        <v>0</v>
      </c>
      <c r="E38" s="61">
        <v>800</v>
      </c>
      <c r="F38" s="52" t="s">
        <v>303</v>
      </c>
      <c r="G38" s="63">
        <v>1.3300000000000001E-20</v>
      </c>
      <c r="H38" s="53">
        <v>7.7000000000000003E-10</v>
      </c>
      <c r="I38" s="97">
        <v>373000</v>
      </c>
      <c r="J38" s="97">
        <v>123000</v>
      </c>
      <c r="K38" s="97">
        <v>1.9900000000000001E-2</v>
      </c>
      <c r="L38" s="97">
        <v>1.8200000000000001E-4</v>
      </c>
      <c r="M38" s="100">
        <v>0.54</v>
      </c>
      <c r="N38" s="61">
        <v>200</v>
      </c>
      <c r="O38" s="65" t="s">
        <v>308</v>
      </c>
    </row>
    <row r="39" spans="1:15">
      <c r="A39" s="15" t="s">
        <v>17</v>
      </c>
      <c r="B39" s="17" t="s">
        <v>105</v>
      </c>
      <c r="C39" s="17" t="b">
        <f>FALSE</f>
        <v>0</v>
      </c>
      <c r="D39" s="12" t="b">
        <f>FALSE</f>
        <v>0</v>
      </c>
      <c r="E39" s="13">
        <v>2.9</v>
      </c>
      <c r="F39" s="52" t="s">
        <v>304</v>
      </c>
      <c r="G39" s="94">
        <v>1.6399999999999999E-18</v>
      </c>
      <c r="H39" s="96">
        <v>2.7999999999999999E-8</v>
      </c>
      <c r="I39" s="97">
        <v>709000</v>
      </c>
      <c r="J39" s="97">
        <v>725000</v>
      </c>
      <c r="K39" s="97">
        <v>0.11700000000000001</v>
      </c>
      <c r="L39" s="97">
        <v>7.4899999999999999E-4</v>
      </c>
      <c r="M39" s="6">
        <v>0.81</v>
      </c>
      <c r="N39" s="61">
        <v>1200</v>
      </c>
      <c r="O39" s="65" t="s">
        <v>304</v>
      </c>
    </row>
    <row r="40" spans="1:15">
      <c r="A40" s="15" t="s">
        <v>109</v>
      </c>
      <c r="B40" s="17" t="s">
        <v>110</v>
      </c>
      <c r="C40" s="17" t="b">
        <f>TRUE</f>
        <v>1</v>
      </c>
      <c r="D40" s="12" t="b">
        <f>FALSE</f>
        <v>0</v>
      </c>
      <c r="E40" s="13">
        <v>6</v>
      </c>
      <c r="F40" s="52" t="s">
        <v>304</v>
      </c>
      <c r="G40" s="94">
        <v>2.1299999999999998E-18</v>
      </c>
      <c r="H40" s="96">
        <v>7.1999999999999996E-8</v>
      </c>
      <c r="I40" s="97">
        <v>5360</v>
      </c>
      <c r="J40" s="97">
        <v>103000</v>
      </c>
      <c r="K40" s="97">
        <v>3.95</v>
      </c>
      <c r="L40" s="97">
        <v>1.98E-3</v>
      </c>
      <c r="M40" s="6">
        <v>0.3</v>
      </c>
      <c r="N40" s="61">
        <v>190000</v>
      </c>
      <c r="O40" s="65" t="s">
        <v>304</v>
      </c>
    </row>
    <row r="41" spans="1:15">
      <c r="A41" s="15" t="s">
        <v>156</v>
      </c>
      <c r="B41" s="17"/>
      <c r="C41" s="17" t="b">
        <f>FALSE</f>
        <v>0</v>
      </c>
      <c r="D41" s="12" t="b">
        <f>FALSE</f>
        <v>0</v>
      </c>
      <c r="E41" s="13">
        <v>6</v>
      </c>
      <c r="F41" s="52" t="s">
        <v>304</v>
      </c>
      <c r="G41" s="63">
        <v>6.3699999999999996E-19</v>
      </c>
      <c r="H41" s="96">
        <v>2.1E-7</v>
      </c>
      <c r="I41" s="97">
        <v>7930</v>
      </c>
      <c r="J41" s="97">
        <v>107000</v>
      </c>
      <c r="K41" s="97">
        <v>3.95</v>
      </c>
      <c r="L41" s="97">
        <v>1.98E-3</v>
      </c>
      <c r="M41" s="6">
        <v>0.3</v>
      </c>
      <c r="N41" s="61">
        <v>190000</v>
      </c>
      <c r="O41" s="65" t="s">
        <v>304</v>
      </c>
    </row>
    <row r="42" spans="1:15">
      <c r="A42" s="15" t="s">
        <v>20</v>
      </c>
      <c r="B42" s="17" t="s">
        <v>29</v>
      </c>
      <c r="C42" s="17" t="b">
        <f>FALSE</f>
        <v>0</v>
      </c>
      <c r="D42" s="12" t="b">
        <f>FALSE</f>
        <v>0</v>
      </c>
      <c r="E42" s="13">
        <v>6</v>
      </c>
      <c r="F42" s="52" t="s">
        <v>304</v>
      </c>
      <c r="G42" s="94">
        <v>4.5499999999999999E-19</v>
      </c>
      <c r="H42" s="96">
        <v>2.2999999999999999E-7</v>
      </c>
      <c r="I42" s="97">
        <v>7930</v>
      </c>
      <c r="J42" s="97">
        <v>107000</v>
      </c>
      <c r="K42" s="97">
        <v>3.95</v>
      </c>
      <c r="L42" s="97">
        <v>1.98E-3</v>
      </c>
      <c r="M42" s="6">
        <v>0.3</v>
      </c>
      <c r="N42" s="61">
        <v>190000</v>
      </c>
      <c r="O42" s="65" t="s">
        <v>304</v>
      </c>
    </row>
    <row r="43" spans="1:15">
      <c r="A43" s="15" t="s">
        <v>31</v>
      </c>
      <c r="B43" s="16" t="s">
        <v>32</v>
      </c>
      <c r="C43" s="17" t="b">
        <f>TRUE</f>
        <v>1</v>
      </c>
      <c r="D43" s="12" t="b">
        <f>FALSE</f>
        <v>0</v>
      </c>
      <c r="E43" s="13">
        <v>6</v>
      </c>
      <c r="F43" s="52" t="s">
        <v>304</v>
      </c>
      <c r="G43" s="94">
        <v>7.4899999999999994E-18</v>
      </c>
      <c r="H43" s="96">
        <v>3.3999999999999998E-9</v>
      </c>
      <c r="I43" s="97">
        <v>3370</v>
      </c>
      <c r="J43" s="97">
        <v>66200</v>
      </c>
      <c r="K43" s="97">
        <v>3.93</v>
      </c>
      <c r="L43" s="97">
        <v>1.97E-3</v>
      </c>
      <c r="M43" s="6">
        <v>0.3</v>
      </c>
      <c r="N43" s="61">
        <v>190000</v>
      </c>
      <c r="O43" s="65" t="s">
        <v>304</v>
      </c>
    </row>
    <row r="44" spans="1:15">
      <c r="A44" s="15" t="s">
        <v>111</v>
      </c>
      <c r="B44" s="16"/>
      <c r="C44" s="17" t="b">
        <f>TRUE</f>
        <v>1</v>
      </c>
      <c r="D44" s="12" t="b">
        <f>FALSE</f>
        <v>0</v>
      </c>
      <c r="E44" s="13">
        <v>0.96</v>
      </c>
      <c r="F44" s="52" t="s">
        <v>304</v>
      </c>
      <c r="G44" s="94">
        <v>5.86E-19</v>
      </c>
      <c r="H44" s="96">
        <v>4.9000000000000002E-8</v>
      </c>
      <c r="I44" s="97">
        <v>55600</v>
      </c>
      <c r="J44" s="97">
        <v>154000</v>
      </c>
      <c r="K44" s="97">
        <v>4.9899999999999996E-3</v>
      </c>
      <c r="L44" s="97">
        <v>4.8699999999999998E-5</v>
      </c>
      <c r="M44" s="6">
        <v>0.3</v>
      </c>
      <c r="N44" s="61">
        <v>50</v>
      </c>
      <c r="O44" s="65" t="s">
        <v>303</v>
      </c>
    </row>
    <row r="45" spans="1:15">
      <c r="A45" s="15" t="s">
        <v>30</v>
      </c>
      <c r="B45" s="16" t="s">
        <v>31</v>
      </c>
      <c r="C45" s="17" t="b">
        <f>FALSE</f>
        <v>0</v>
      </c>
      <c r="D45" s="12" t="b">
        <f>FALSE</f>
        <v>0</v>
      </c>
      <c r="E45" s="13">
        <v>0.96</v>
      </c>
      <c r="F45" s="52" t="s">
        <v>304</v>
      </c>
      <c r="G45" s="94">
        <v>4.2299999999999998E-19</v>
      </c>
      <c r="H45" s="96">
        <v>4.4999999999999999E-8</v>
      </c>
      <c r="I45" s="97">
        <v>55600</v>
      </c>
      <c r="J45" s="97">
        <v>154000</v>
      </c>
      <c r="K45" s="97">
        <v>4.9899999999999996E-3</v>
      </c>
      <c r="L45" s="97">
        <v>4.8699999999999998E-5</v>
      </c>
      <c r="M45" s="6">
        <v>0.3</v>
      </c>
      <c r="N45" s="61">
        <v>50</v>
      </c>
      <c r="O45" s="65" t="s">
        <v>303</v>
      </c>
    </row>
    <row r="46" spans="1:15">
      <c r="A46" s="15" t="s">
        <v>105</v>
      </c>
      <c r="B46" s="16"/>
      <c r="C46" s="17" t="b">
        <f>TRUE</f>
        <v>1</v>
      </c>
      <c r="D46" s="12" t="b">
        <f>FALSE</f>
        <v>0</v>
      </c>
      <c r="E46" s="13">
        <v>0</v>
      </c>
      <c r="F46" s="118" t="s">
        <v>310</v>
      </c>
      <c r="G46" s="94">
        <v>1.1E-16</v>
      </c>
      <c r="H46" s="96">
        <v>2.7000000000000002E-9</v>
      </c>
      <c r="I46" s="97">
        <v>0</v>
      </c>
      <c r="J46" s="97">
        <v>0</v>
      </c>
      <c r="K46" s="97">
        <v>0.35399999999999998</v>
      </c>
      <c r="L46" s="97">
        <v>1.31E-3</v>
      </c>
      <c r="M46" s="15">
        <v>0</v>
      </c>
      <c r="N46" s="66" t="e">
        <v>#N/A</v>
      </c>
      <c r="O46" s="56" t="e">
        <v>#N/A</v>
      </c>
    </row>
    <row r="47" spans="1:15">
      <c r="A47" s="15" t="s">
        <v>178</v>
      </c>
      <c r="B47" s="16"/>
      <c r="C47" s="17" t="b">
        <f>FALSE</f>
        <v>0</v>
      </c>
      <c r="D47" s="12" t="b">
        <f>FALSE</f>
        <v>0</v>
      </c>
      <c r="E47" s="13">
        <v>3400</v>
      </c>
      <c r="F47" s="52" t="s">
        <v>304</v>
      </c>
      <c r="G47" s="63">
        <v>5.4100000000000001E-16</v>
      </c>
      <c r="H47" s="96">
        <v>3.9000000000000002E-9</v>
      </c>
      <c r="I47" s="97">
        <v>181000</v>
      </c>
      <c r="J47" s="97">
        <v>222000</v>
      </c>
      <c r="K47" s="97">
        <v>4.9399999999999999E-2</v>
      </c>
      <c r="L47" s="97">
        <v>3.9899999999999999E-4</v>
      </c>
      <c r="M47" s="15">
        <v>0.54</v>
      </c>
      <c r="N47" s="61">
        <v>500</v>
      </c>
      <c r="O47" s="65" t="s">
        <v>303</v>
      </c>
    </row>
    <row r="49" spans="1:2">
      <c r="A49" s="51" t="s">
        <v>243</v>
      </c>
    </row>
    <row r="50" spans="1:2">
      <c r="A50" s="118" t="s">
        <v>310</v>
      </c>
      <c r="B50" s="6" t="s">
        <v>112</v>
      </c>
    </row>
    <row r="51" spans="1:2">
      <c r="A51" s="117" t="s">
        <v>309</v>
      </c>
      <c r="B51" s="6" t="s">
        <v>71</v>
      </c>
    </row>
  </sheetData>
  <mergeCells count="5">
    <mergeCell ref="E5:H5"/>
    <mergeCell ref="I5:J5"/>
    <mergeCell ref="E6:F6"/>
    <mergeCell ref="K5:L5"/>
    <mergeCell ref="N6:O6"/>
  </mergeCells>
  <hyperlinks>
    <hyperlink ref="A2" location="Status!A1" display="Back to Status tab"/>
  </hyperlinks>
  <pageMargins left="0.23622047244094491" right="0.23622047244094491" top="0.74803149606299213" bottom="0.74803149606299213" header="0.31496062992125984" footer="0.31496062992125984"/>
  <pageSetup paperSize="9" scale="98" orientation="landscape" r:id="rId1"/>
  <headerFooter>
    <oddHeader>&amp;CANNEX A: METHODOLOGY FOR ESTIMATING PUBLIC EXPOSURES DUE TO RADIOACTIVE DISCHARGES</oddHeader>
    <oddFooter>&amp;L&amp;F#&amp;A&amp;CPage &amp;P of &amp;N&amp;RUNSCEAR 2016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6" tint="0.39997558519241921"/>
    <pageSetUpPr fitToPage="1"/>
  </sheetPr>
  <dimension ref="A1:I54"/>
  <sheetViews>
    <sheetView workbookViewId="0">
      <pane xSplit="1" ySplit="2" topLeftCell="B3" activePane="bottomRight" state="frozen"/>
      <selection pane="topRight" activeCell="B1" sqref="B1"/>
      <selection pane="bottomLeft" activeCell="A3" sqref="A3"/>
      <selection pane="bottomRight"/>
    </sheetView>
  </sheetViews>
  <sheetFormatPr defaultRowHeight="11.25"/>
  <cols>
    <col min="1" max="1" width="57.1640625" style="36" customWidth="1"/>
    <col min="2" max="2" width="9.1640625" style="36" bestFit="1" customWidth="1"/>
    <col min="3" max="3" width="22.6640625" style="36" bestFit="1" customWidth="1"/>
    <col min="4" max="4" width="14.33203125" style="36" bestFit="1" customWidth="1"/>
    <col min="5" max="5" width="12.1640625" style="36" customWidth="1"/>
    <col min="6" max="16384" width="9.33203125" style="36"/>
  </cols>
  <sheetData>
    <row r="1" spans="1:9" ht="15.75">
      <c r="A1" s="35" t="s">
        <v>259</v>
      </c>
    </row>
    <row r="2" spans="1:9">
      <c r="A2" s="3" t="s">
        <v>16</v>
      </c>
    </row>
    <row r="4" spans="1:9" s="112" customFormat="1" ht="12.75">
      <c r="A4" s="37" t="s">
        <v>296</v>
      </c>
      <c r="B4" s="37"/>
      <c r="C4" s="37"/>
      <c r="D4" s="37"/>
      <c r="E4" s="37"/>
      <c r="F4" s="37"/>
      <c r="G4" s="37"/>
      <c r="H4" s="45"/>
      <c r="I4" s="37"/>
    </row>
    <row r="5" spans="1:9" s="43" customFormat="1" ht="11.25" customHeight="1">
      <c r="B5" s="128" t="s">
        <v>69</v>
      </c>
      <c r="C5" s="128"/>
      <c r="D5" s="128"/>
      <c r="E5" s="127" t="s">
        <v>173</v>
      </c>
      <c r="F5" s="43" t="s">
        <v>157</v>
      </c>
      <c r="G5" s="43" t="s">
        <v>159</v>
      </c>
      <c r="H5" s="43" t="s">
        <v>181</v>
      </c>
      <c r="I5" s="43" t="s">
        <v>182</v>
      </c>
    </row>
    <row r="6" spans="1:9">
      <c r="A6" s="43"/>
      <c r="B6" s="41" t="s">
        <v>60</v>
      </c>
      <c r="C6" s="41" t="s">
        <v>61</v>
      </c>
      <c r="D6" s="36" t="s">
        <v>68</v>
      </c>
      <c r="E6" s="127"/>
      <c r="F6" s="36" t="s">
        <v>158</v>
      </c>
      <c r="G6" s="36" t="s">
        <v>160</v>
      </c>
      <c r="H6" s="36" t="s">
        <v>158</v>
      </c>
      <c r="I6" s="36" t="s">
        <v>158</v>
      </c>
    </row>
    <row r="7" spans="1:9">
      <c r="A7" s="43" t="s">
        <v>56</v>
      </c>
      <c r="B7" s="42">
        <v>125.8</v>
      </c>
      <c r="C7" s="42">
        <v>220.7</v>
      </c>
      <c r="D7" s="49">
        <v>2.7</v>
      </c>
      <c r="E7" s="77">
        <f>2.3/10</f>
        <v>0.22999999999999998</v>
      </c>
      <c r="F7" s="50">
        <v>2.7123226588196485E-2</v>
      </c>
      <c r="G7" s="50">
        <v>0.60159114640107392</v>
      </c>
      <c r="H7" s="36">
        <v>0</v>
      </c>
      <c r="I7" s="86">
        <v>0.23590905077262694</v>
      </c>
    </row>
    <row r="8" spans="1:9">
      <c r="A8" s="43" t="s">
        <v>62</v>
      </c>
      <c r="B8" s="42">
        <v>141.5</v>
      </c>
      <c r="C8" s="42">
        <v>240.8</v>
      </c>
      <c r="D8" s="49">
        <v>7.8</v>
      </c>
      <c r="E8" s="77">
        <f>2.9/10</f>
        <v>0.28999999999999998</v>
      </c>
      <c r="F8" s="50">
        <v>9.3897875208595591E-2</v>
      </c>
      <c r="G8" s="50">
        <v>0.79383611140197463</v>
      </c>
      <c r="H8" s="36">
        <v>0</v>
      </c>
      <c r="I8" s="54">
        <v>9.2724705407137106E-2</v>
      </c>
    </row>
    <row r="9" spans="1:9">
      <c r="A9" s="43" t="s">
        <v>57</v>
      </c>
      <c r="B9" s="42">
        <v>110.3</v>
      </c>
      <c r="C9" s="42">
        <v>280.60000000000002</v>
      </c>
      <c r="D9" s="49">
        <v>3.4</v>
      </c>
      <c r="E9" s="77">
        <f>3.6/10</f>
        <v>0.36</v>
      </c>
      <c r="F9" s="50">
        <v>1.2162278451354331E-2</v>
      </c>
      <c r="G9" s="50">
        <v>1.9407528533996534</v>
      </c>
      <c r="H9" s="36">
        <v>0</v>
      </c>
      <c r="I9" s="86">
        <v>0.40877362472791867</v>
      </c>
    </row>
    <row r="10" spans="1:9">
      <c r="A10" s="43" t="s">
        <v>63</v>
      </c>
      <c r="B10" s="42">
        <v>105.9</v>
      </c>
      <c r="C10" s="42">
        <v>207.2</v>
      </c>
      <c r="D10" s="49">
        <v>1.6</v>
      </c>
      <c r="E10" s="77">
        <f>3.3/10</f>
        <v>0.32999999999999996</v>
      </c>
      <c r="F10" s="50">
        <v>1.001875394606516E-2</v>
      </c>
      <c r="G10" s="50">
        <v>0.8247023935975033</v>
      </c>
      <c r="H10" s="36">
        <v>0</v>
      </c>
      <c r="I10" s="86">
        <v>0.24097172061328789</v>
      </c>
    </row>
    <row r="11" spans="1:9">
      <c r="A11" s="43" t="s">
        <v>58</v>
      </c>
      <c r="B11" s="42">
        <v>88.1</v>
      </c>
      <c r="C11" s="42">
        <v>255.2</v>
      </c>
      <c r="D11" s="49">
        <v>4.5</v>
      </c>
      <c r="E11" s="77">
        <f>3/10</f>
        <v>0.3</v>
      </c>
      <c r="F11" s="50">
        <v>2.3876609903501121E-2</v>
      </c>
      <c r="G11" s="50">
        <v>1.2771046718445953</v>
      </c>
      <c r="H11" s="36">
        <v>0</v>
      </c>
      <c r="I11" s="86">
        <v>0.50962875009777087</v>
      </c>
    </row>
    <row r="12" spans="1:9">
      <c r="A12" s="43" t="s">
        <v>59</v>
      </c>
      <c r="B12" s="42">
        <v>140.6</v>
      </c>
      <c r="C12" s="42">
        <v>181</v>
      </c>
      <c r="D12" s="49">
        <v>1.3</v>
      </c>
      <c r="E12" s="77">
        <f>2.9/10</f>
        <v>0.28999999999999998</v>
      </c>
      <c r="F12" s="50">
        <v>0.56512113518655616</v>
      </c>
      <c r="G12" s="50">
        <v>0.46875106823064161</v>
      </c>
      <c r="H12" s="36">
        <v>0</v>
      </c>
      <c r="I12" s="87">
        <v>0.27896551724137925</v>
      </c>
    </row>
    <row r="13" spans="1:9">
      <c r="A13" s="43" t="s">
        <v>252</v>
      </c>
      <c r="B13" s="79">
        <f>'[1]Other parameters'!B12</f>
        <v>125.81852610098041</v>
      </c>
      <c r="C13" s="79">
        <f>'[1]Other parameters'!C12</f>
        <v>231.96013968100854</v>
      </c>
      <c r="D13" s="49">
        <v>5.7</v>
      </c>
      <c r="E13" s="77">
        <v>0.3</v>
      </c>
      <c r="F13" s="50">
        <v>3.8902698754979426E-2</v>
      </c>
      <c r="G13" s="50">
        <v>0.85263729970942892</v>
      </c>
      <c r="H13" s="36">
        <v>0</v>
      </c>
      <c r="I13" s="86">
        <v>0.19612341786301399</v>
      </c>
    </row>
    <row r="15" spans="1:9" s="112" customFormat="1" ht="12.75">
      <c r="A15" s="37" t="s">
        <v>47</v>
      </c>
      <c r="B15" s="37" t="s">
        <v>48</v>
      </c>
      <c r="C15" s="37" t="s">
        <v>49</v>
      </c>
      <c r="D15" s="37" t="s">
        <v>50</v>
      </c>
      <c r="E15" s="37" t="s">
        <v>243</v>
      </c>
    </row>
    <row r="16" spans="1:9">
      <c r="A16" s="36" t="s">
        <v>51</v>
      </c>
      <c r="B16" s="36" t="s">
        <v>52</v>
      </c>
      <c r="C16" s="36">
        <v>1</v>
      </c>
      <c r="D16" s="36" t="s">
        <v>53</v>
      </c>
      <c r="E16" s="36" t="s">
        <v>41</v>
      </c>
    </row>
    <row r="17" spans="1:5">
      <c r="A17" s="36" t="s">
        <v>77</v>
      </c>
      <c r="B17" s="36" t="s">
        <v>75</v>
      </c>
      <c r="C17" s="36">
        <v>10</v>
      </c>
      <c r="D17" s="36" t="s">
        <v>72</v>
      </c>
      <c r="E17" s="36" t="s">
        <v>41</v>
      </c>
    </row>
    <row r="18" spans="1:5">
      <c r="A18" s="36" t="s">
        <v>78</v>
      </c>
      <c r="B18" s="36" t="s">
        <v>76</v>
      </c>
      <c r="C18" s="36">
        <v>1000</v>
      </c>
      <c r="D18" s="36" t="s">
        <v>72</v>
      </c>
      <c r="E18" s="36" t="s">
        <v>41</v>
      </c>
    </row>
    <row r="19" spans="1:5">
      <c r="A19" s="36" t="s">
        <v>81</v>
      </c>
      <c r="B19" s="36" t="s">
        <v>79</v>
      </c>
      <c r="C19" s="55">
        <v>4.0000000000000001E-3</v>
      </c>
      <c r="D19" s="36" t="s">
        <v>82</v>
      </c>
      <c r="E19" s="36" t="s">
        <v>318</v>
      </c>
    </row>
    <row r="20" spans="1:5">
      <c r="A20" s="36" t="s">
        <v>272</v>
      </c>
      <c r="B20" s="36" t="s">
        <v>80</v>
      </c>
      <c r="C20" s="54">
        <f>150/365</f>
        <v>0.41095890410958902</v>
      </c>
      <c r="D20" s="36" t="s">
        <v>41</v>
      </c>
      <c r="E20" s="36" t="s">
        <v>305</v>
      </c>
    </row>
    <row r="21" spans="1:5">
      <c r="A21" s="36" t="s">
        <v>85</v>
      </c>
      <c r="B21" s="36" t="s">
        <v>41</v>
      </c>
      <c r="C21" s="36">
        <f>24*60*60</f>
        <v>86400</v>
      </c>
      <c r="D21" s="36" t="s">
        <v>86</v>
      </c>
      <c r="E21" s="36" t="s">
        <v>41</v>
      </c>
    </row>
    <row r="22" spans="1:5">
      <c r="A22" s="36" t="s">
        <v>273</v>
      </c>
      <c r="B22" s="36" t="s">
        <v>87</v>
      </c>
      <c r="C22" s="36">
        <v>0.78</v>
      </c>
      <c r="D22" s="36" t="s">
        <v>65</v>
      </c>
      <c r="E22" s="36" t="s">
        <v>304</v>
      </c>
    </row>
    <row r="23" spans="1:5">
      <c r="A23" s="36" t="s">
        <v>274</v>
      </c>
      <c r="B23" s="36" t="s">
        <v>88</v>
      </c>
      <c r="C23" s="36">
        <v>0.65</v>
      </c>
      <c r="D23" s="36" t="s">
        <v>41</v>
      </c>
      <c r="E23" s="36" t="s">
        <v>304</v>
      </c>
    </row>
    <row r="24" spans="1:5">
      <c r="A24" s="36" t="s">
        <v>275</v>
      </c>
      <c r="B24" s="36" t="s">
        <v>89</v>
      </c>
      <c r="C24" s="38">
        <v>6.6E-4</v>
      </c>
      <c r="D24" s="36" t="s">
        <v>90</v>
      </c>
      <c r="E24" s="36" t="s">
        <v>304</v>
      </c>
    </row>
    <row r="25" spans="1:5">
      <c r="A25" s="36" t="s">
        <v>276</v>
      </c>
      <c r="B25" s="36" t="s">
        <v>92</v>
      </c>
      <c r="C25" s="36">
        <v>0.5</v>
      </c>
      <c r="D25" s="36" t="s">
        <v>93</v>
      </c>
      <c r="E25" s="36" t="s">
        <v>94</v>
      </c>
    </row>
    <row r="26" spans="1:5">
      <c r="A26" s="36" t="s">
        <v>277</v>
      </c>
      <c r="B26" s="36" t="s">
        <v>95</v>
      </c>
      <c r="C26" s="36">
        <v>1</v>
      </c>
      <c r="D26" s="36" t="s">
        <v>41</v>
      </c>
      <c r="E26" s="36" t="s">
        <v>41</v>
      </c>
    </row>
    <row r="27" spans="1:5">
      <c r="A27" s="36" t="s">
        <v>278</v>
      </c>
      <c r="B27" s="36" t="s">
        <v>99</v>
      </c>
      <c r="C27" s="36">
        <v>1200</v>
      </c>
      <c r="D27" s="36" t="s">
        <v>100</v>
      </c>
      <c r="E27" s="36" t="s">
        <v>303</v>
      </c>
    </row>
    <row r="28" spans="1:5">
      <c r="A28" s="36" t="s">
        <v>279</v>
      </c>
      <c r="B28" s="36" t="s">
        <v>101</v>
      </c>
      <c r="C28" s="36">
        <v>0.05</v>
      </c>
      <c r="D28" s="36" t="s">
        <v>102</v>
      </c>
      <c r="E28" s="36" t="s">
        <v>303</v>
      </c>
    </row>
    <row r="29" spans="1:5">
      <c r="A29" s="36" t="s">
        <v>280</v>
      </c>
      <c r="B29" s="36" t="s">
        <v>103</v>
      </c>
      <c r="C29" s="38">
        <f>50*60*60</f>
        <v>180000</v>
      </c>
      <c r="D29" s="36" t="s">
        <v>104</v>
      </c>
      <c r="E29" s="36" t="s">
        <v>318</v>
      </c>
    </row>
    <row r="30" spans="1:5">
      <c r="A30" s="36" t="s">
        <v>115</v>
      </c>
      <c r="B30" s="36" t="s">
        <v>114</v>
      </c>
      <c r="C30" s="36">
        <v>5</v>
      </c>
      <c r="D30" s="36" t="s">
        <v>116</v>
      </c>
      <c r="E30" s="36" t="s">
        <v>311</v>
      </c>
    </row>
    <row r="31" spans="1:5">
      <c r="A31" s="36" t="s">
        <v>281</v>
      </c>
      <c r="B31" s="36" t="s">
        <v>117</v>
      </c>
      <c r="C31" s="36">
        <v>0.12</v>
      </c>
      <c r="D31" s="36" t="s">
        <v>65</v>
      </c>
      <c r="E31" s="36" t="s">
        <v>304</v>
      </c>
    </row>
    <row r="32" spans="1:5">
      <c r="A32" s="36" t="s">
        <v>282</v>
      </c>
      <c r="B32" s="36" t="s">
        <v>117</v>
      </c>
      <c r="C32" s="36">
        <v>0.92</v>
      </c>
      <c r="D32" s="36" t="s">
        <v>65</v>
      </c>
      <c r="E32" s="36" t="s">
        <v>304</v>
      </c>
    </row>
    <row r="33" spans="1:5">
      <c r="A33" s="36" t="s">
        <v>118</v>
      </c>
      <c r="B33" s="36" t="s">
        <v>119</v>
      </c>
      <c r="C33" s="36">
        <v>0.7</v>
      </c>
      <c r="D33" s="36" t="s">
        <v>41</v>
      </c>
      <c r="E33" s="36" t="s">
        <v>312</v>
      </c>
    </row>
    <row r="34" spans="1:5">
      <c r="A34" s="36" t="s">
        <v>283</v>
      </c>
      <c r="B34" s="36" t="s">
        <v>120</v>
      </c>
      <c r="C34" s="36">
        <v>0.90900000000000003</v>
      </c>
      <c r="D34" s="36" t="s">
        <v>41</v>
      </c>
      <c r="E34" s="36" t="s">
        <v>304</v>
      </c>
    </row>
    <row r="35" spans="1:5">
      <c r="A35" s="36" t="s">
        <v>284</v>
      </c>
      <c r="B35" s="36" t="s">
        <v>122</v>
      </c>
      <c r="C35" s="36">
        <v>0.54</v>
      </c>
      <c r="D35" s="36" t="s">
        <v>41</v>
      </c>
      <c r="E35" s="36" t="s">
        <v>304</v>
      </c>
    </row>
    <row r="36" spans="1:5">
      <c r="A36" s="36" t="s">
        <v>285</v>
      </c>
      <c r="B36" s="36" t="s">
        <v>123</v>
      </c>
      <c r="C36" s="36">
        <v>0.56000000000000005</v>
      </c>
      <c r="D36" s="36" t="s">
        <v>65</v>
      </c>
      <c r="E36" s="36" t="s">
        <v>304</v>
      </c>
    </row>
    <row r="37" spans="1:5">
      <c r="A37" s="36" t="s">
        <v>286</v>
      </c>
      <c r="B37" s="36" t="s">
        <v>123</v>
      </c>
      <c r="C37" s="36">
        <v>0.51</v>
      </c>
      <c r="D37" s="36" t="s">
        <v>65</v>
      </c>
      <c r="E37" s="36" t="s">
        <v>304</v>
      </c>
    </row>
    <row r="38" spans="1:5">
      <c r="A38" s="36" t="s">
        <v>287</v>
      </c>
      <c r="B38" s="36" t="s">
        <v>124</v>
      </c>
      <c r="C38" s="36">
        <v>0.15</v>
      </c>
      <c r="D38" s="36" t="s">
        <v>41</v>
      </c>
      <c r="E38" s="36" t="s">
        <v>312</v>
      </c>
    </row>
    <row r="39" spans="1:5">
      <c r="A39" s="36" t="s">
        <v>288</v>
      </c>
      <c r="B39" s="36" t="s">
        <v>124</v>
      </c>
      <c r="C39" s="36">
        <v>0.15</v>
      </c>
      <c r="D39" s="36" t="s">
        <v>41</v>
      </c>
      <c r="E39" s="36" t="s">
        <v>312</v>
      </c>
    </row>
    <row r="40" spans="1:5">
      <c r="A40" s="36" t="s">
        <v>289</v>
      </c>
      <c r="B40" s="36" t="s">
        <v>125</v>
      </c>
      <c r="C40" s="36">
        <v>0.66</v>
      </c>
      <c r="D40" s="36" t="s">
        <v>126</v>
      </c>
      <c r="E40" s="36" t="s">
        <v>312</v>
      </c>
    </row>
    <row r="41" spans="1:5">
      <c r="A41" s="36" t="s">
        <v>290</v>
      </c>
      <c r="B41" s="36" t="s">
        <v>129</v>
      </c>
      <c r="C41" s="38">
        <v>390</v>
      </c>
      <c r="D41" s="36" t="s">
        <v>130</v>
      </c>
      <c r="E41" s="36" t="s">
        <v>304</v>
      </c>
    </row>
    <row r="42" spans="1:5">
      <c r="A42" s="36" t="s">
        <v>291</v>
      </c>
      <c r="B42" s="36" t="s">
        <v>129</v>
      </c>
      <c r="C42" s="38">
        <v>30</v>
      </c>
      <c r="D42" s="36" t="s">
        <v>130</v>
      </c>
      <c r="E42" s="36" t="s">
        <v>304</v>
      </c>
    </row>
    <row r="43" spans="1:5">
      <c r="A43" s="36" t="s">
        <v>135</v>
      </c>
      <c r="B43" s="36" t="s">
        <v>134</v>
      </c>
      <c r="C43" s="38">
        <f>Other_sec_day*365</f>
        <v>31536000</v>
      </c>
      <c r="D43" s="36" t="s">
        <v>104</v>
      </c>
      <c r="E43" s="36" t="s">
        <v>41</v>
      </c>
    </row>
    <row r="44" spans="1:5">
      <c r="A44" s="36" t="s">
        <v>292</v>
      </c>
      <c r="B44" s="36" t="s">
        <v>174</v>
      </c>
      <c r="C44" s="36">
        <v>0.01</v>
      </c>
      <c r="D44" s="36" t="s">
        <v>41</v>
      </c>
      <c r="E44" s="36" t="s">
        <v>41</v>
      </c>
    </row>
    <row r="45" spans="1:5">
      <c r="A45" s="36" t="s">
        <v>293</v>
      </c>
      <c r="B45" s="36" t="s">
        <v>175</v>
      </c>
      <c r="C45" s="36">
        <v>0.01</v>
      </c>
      <c r="D45" s="36" t="s">
        <v>41</v>
      </c>
      <c r="E45" s="36" t="s">
        <v>41</v>
      </c>
    </row>
    <row r="46" spans="1:5">
      <c r="A46" s="36" t="s">
        <v>136</v>
      </c>
      <c r="B46" s="36" t="s">
        <v>176</v>
      </c>
      <c r="C46" s="55">
        <v>1000</v>
      </c>
      <c r="D46" s="36" t="s">
        <v>151</v>
      </c>
      <c r="E46" s="36" t="s">
        <v>313</v>
      </c>
    </row>
    <row r="47" spans="1:5">
      <c r="A47" s="36" t="s">
        <v>137</v>
      </c>
      <c r="B47" s="36" t="s">
        <v>176</v>
      </c>
      <c r="C47" s="55">
        <v>10000</v>
      </c>
      <c r="D47" s="36" t="s">
        <v>151</v>
      </c>
      <c r="E47" s="36" t="s">
        <v>313</v>
      </c>
    </row>
    <row r="48" spans="1:5">
      <c r="A48" s="36" t="s">
        <v>138</v>
      </c>
      <c r="B48" s="36" t="s">
        <v>139</v>
      </c>
      <c r="C48" s="55">
        <v>100</v>
      </c>
      <c r="D48" s="36" t="s">
        <v>140</v>
      </c>
      <c r="E48" s="36" t="s">
        <v>303</v>
      </c>
    </row>
    <row r="49" spans="1:5">
      <c r="A49" s="36" t="s">
        <v>141</v>
      </c>
      <c r="B49" s="36" t="s">
        <v>139</v>
      </c>
      <c r="C49" s="55">
        <v>500</v>
      </c>
      <c r="D49" s="36" t="s">
        <v>140</v>
      </c>
      <c r="E49" s="36" t="s">
        <v>303</v>
      </c>
    </row>
    <row r="50" spans="1:5">
      <c r="A50" s="36" t="s">
        <v>144</v>
      </c>
      <c r="B50" s="36" t="s">
        <v>145</v>
      </c>
      <c r="C50" s="38">
        <v>2.0000000000000002E-5</v>
      </c>
      <c r="D50" s="36" t="s">
        <v>147</v>
      </c>
      <c r="E50" s="36" t="s">
        <v>314</v>
      </c>
    </row>
    <row r="51" spans="1:5">
      <c r="A51" s="36" t="s">
        <v>146</v>
      </c>
      <c r="B51" s="36" t="s">
        <v>145</v>
      </c>
      <c r="C51" s="38">
        <v>5.0000000000000001E-4</v>
      </c>
      <c r="D51" s="36" t="s">
        <v>147</v>
      </c>
      <c r="E51" s="36" t="s">
        <v>314</v>
      </c>
    </row>
    <row r="52" spans="1:5">
      <c r="A52" s="36" t="s">
        <v>294</v>
      </c>
      <c r="B52" s="36" t="s">
        <v>179</v>
      </c>
      <c r="C52" s="36">
        <v>0.25</v>
      </c>
      <c r="D52" s="36" t="s">
        <v>41</v>
      </c>
      <c r="E52" s="36" t="s">
        <v>315</v>
      </c>
    </row>
    <row r="53" spans="1:5">
      <c r="A53" s="36" t="s">
        <v>295</v>
      </c>
      <c r="B53" s="36" t="s">
        <v>180</v>
      </c>
      <c r="C53" s="36">
        <v>0.2</v>
      </c>
      <c r="D53" s="36" t="s">
        <v>41</v>
      </c>
      <c r="E53" s="36" t="s">
        <v>316</v>
      </c>
    </row>
    <row r="54" spans="1:5">
      <c r="A54" s="36" t="s">
        <v>254</v>
      </c>
      <c r="B54" s="36" t="s">
        <v>41</v>
      </c>
      <c r="C54" s="36">
        <v>0.94599999999999995</v>
      </c>
      <c r="D54" s="36" t="s">
        <v>41</v>
      </c>
      <c r="E54" s="36" t="s">
        <v>317</v>
      </c>
    </row>
  </sheetData>
  <mergeCells count="2">
    <mergeCell ref="E5:E6"/>
    <mergeCell ref="B5:D5"/>
  </mergeCells>
  <hyperlinks>
    <hyperlink ref="A2" location="Status!A1" display="Back to Status tab"/>
  </hyperlinks>
  <pageMargins left="0.23622047244094491" right="0.23622047244094491" top="0.74803149606299213" bottom="0.74803149606299213" header="0.31496062992125984" footer="0.31496062992125984"/>
  <pageSetup paperSize="9" scale="92" orientation="portrait" r:id="rId1"/>
  <headerFooter>
    <oddHeader>&amp;CANNEX A: METHODOLOGY FOR ESTIMATING PUBLIC EXPOSURES DUE TO RADIOACTIVE DISCHARGES</oddHeader>
    <oddFooter>&amp;L&amp;F#&amp;A&amp;CPage &amp;P of &amp;N&amp;RUNSCEAR 2016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39997558519241921"/>
  </sheetPr>
  <dimension ref="A1:T314"/>
  <sheetViews>
    <sheetView zoomScaleNormal="100" workbookViewId="0"/>
  </sheetViews>
  <sheetFormatPr defaultRowHeight="11.25"/>
  <cols>
    <col min="1" max="1" width="15.1640625" customWidth="1"/>
    <col min="2" max="2" width="10.6640625" customWidth="1"/>
  </cols>
  <sheetData>
    <row r="1" spans="1:20" ht="15.75">
      <c r="A1" s="1" t="s">
        <v>260</v>
      </c>
      <c r="B1" s="1"/>
      <c r="C1" s="1"/>
      <c r="D1" s="1"/>
      <c r="E1" s="1"/>
      <c r="F1" s="1"/>
    </row>
    <row r="2" spans="1:20">
      <c r="A2" s="3" t="s">
        <v>16</v>
      </c>
      <c r="B2" s="3"/>
      <c r="C2" s="3"/>
      <c r="D2" s="3"/>
      <c r="E2" s="3"/>
      <c r="F2" s="3"/>
      <c r="H2" s="3"/>
      <c r="I2" s="3"/>
    </row>
    <row r="4" spans="1:20" s="112" customFormat="1" ht="12.75">
      <c r="A4" s="37" t="s">
        <v>163</v>
      </c>
      <c r="B4" s="37"/>
      <c r="C4" s="37"/>
      <c r="D4" s="37"/>
    </row>
    <row r="5" spans="1:20" s="75" customFormat="1">
      <c r="A5" s="75" t="s">
        <v>164</v>
      </c>
      <c r="B5" s="75" t="s">
        <v>73</v>
      </c>
      <c r="C5" s="75" t="s">
        <v>74</v>
      </c>
      <c r="D5" s="75" t="s">
        <v>50</v>
      </c>
    </row>
    <row r="6" spans="1:20">
      <c r="A6" s="73" t="s">
        <v>166</v>
      </c>
      <c r="B6" s="57">
        <f t="shared" ref="B6" si="0">Other_Q/Other_Fr_small</f>
        <v>0.1</v>
      </c>
      <c r="C6" s="57">
        <f t="shared" ref="C6" si="1">Other_Q/Other_Fr_large</f>
        <v>1E-3</v>
      </c>
      <c r="D6" s="73" t="s">
        <v>165</v>
      </c>
    </row>
    <row r="7" spans="1:20" s="73" customFormat="1">
      <c r="A7" s="73" t="s">
        <v>167</v>
      </c>
      <c r="B7" s="58">
        <f>Interim_Cuw_small*Other_I_irr*Other_F_irr</f>
        <v>1.6438356164383562E-4</v>
      </c>
      <c r="C7" s="58">
        <f>Interim_Cuw_large*Other_I_irr*Other_F_irr</f>
        <v>1.6438356164383559E-6</v>
      </c>
      <c r="D7" s="73" t="s">
        <v>168</v>
      </c>
    </row>
    <row r="9" spans="1:20" s="112" customFormat="1" ht="12.75">
      <c r="A9" s="37" t="s">
        <v>162</v>
      </c>
      <c r="B9" s="37"/>
      <c r="C9" s="37"/>
      <c r="D9" s="37"/>
      <c r="E9" s="37"/>
      <c r="F9" s="37"/>
      <c r="G9" s="37"/>
      <c r="H9" s="37"/>
      <c r="I9" s="37"/>
      <c r="J9" s="37"/>
      <c r="K9" s="37"/>
      <c r="L9" s="37"/>
      <c r="M9" s="37"/>
      <c r="N9" s="37"/>
      <c r="O9" s="37"/>
      <c r="P9" s="37"/>
      <c r="Q9" s="37"/>
      <c r="R9" s="37"/>
      <c r="S9" s="37"/>
      <c r="T9" s="37"/>
    </row>
    <row r="10" spans="1:20" s="75" customFormat="1" ht="12.75" customHeight="1">
      <c r="A10" s="125" t="s">
        <v>149</v>
      </c>
      <c r="B10" s="125" t="s">
        <v>148</v>
      </c>
      <c r="C10" s="125" t="s">
        <v>142</v>
      </c>
      <c r="D10" s="125"/>
      <c r="E10" s="125" t="s">
        <v>152</v>
      </c>
      <c r="F10" s="125"/>
      <c r="G10" s="125" t="s">
        <v>83</v>
      </c>
      <c r="H10" s="125"/>
      <c r="I10" s="125" t="s">
        <v>84</v>
      </c>
      <c r="J10" s="125"/>
      <c r="K10" s="125" t="s">
        <v>113</v>
      </c>
      <c r="L10" s="125"/>
      <c r="M10" s="125" t="s">
        <v>121</v>
      </c>
      <c r="N10" s="125"/>
      <c r="O10" s="125" t="s">
        <v>127</v>
      </c>
      <c r="P10" s="125"/>
      <c r="Q10" s="125" t="s">
        <v>128</v>
      </c>
      <c r="R10" s="125"/>
      <c r="S10" s="125" t="s">
        <v>131</v>
      </c>
      <c r="T10" s="125"/>
    </row>
    <row r="11" spans="1:20" s="75" customFormat="1" ht="12.75" customHeight="1">
      <c r="A11" s="125"/>
      <c r="B11" s="125"/>
      <c r="C11" s="75" t="s">
        <v>73</v>
      </c>
      <c r="D11" s="75" t="s">
        <v>74</v>
      </c>
      <c r="E11" s="75" t="s">
        <v>73</v>
      </c>
      <c r="F11" s="75" t="s">
        <v>74</v>
      </c>
      <c r="G11" s="75" t="s">
        <v>73</v>
      </c>
      <c r="H11" s="75" t="s">
        <v>74</v>
      </c>
      <c r="I11" s="75" t="s">
        <v>73</v>
      </c>
      <c r="J11" s="75" t="s">
        <v>74</v>
      </c>
      <c r="K11" s="75" t="s">
        <v>73</v>
      </c>
      <c r="L11" s="75" t="s">
        <v>74</v>
      </c>
      <c r="M11" s="75" t="s">
        <v>73</v>
      </c>
      <c r="N11" s="75" t="s">
        <v>74</v>
      </c>
      <c r="O11" s="75" t="s">
        <v>73</v>
      </c>
      <c r="P11" s="75" t="s">
        <v>74</v>
      </c>
      <c r="Q11" s="75" t="s">
        <v>73</v>
      </c>
      <c r="R11" s="75" t="s">
        <v>74</v>
      </c>
      <c r="S11" s="75" t="s">
        <v>73</v>
      </c>
      <c r="T11" s="75" t="s">
        <v>74</v>
      </c>
    </row>
    <row r="12" spans="1:20">
      <c r="A12" s="4" t="s">
        <v>33</v>
      </c>
      <c r="B12" s="4"/>
      <c r="C12" s="67">
        <f>IF(ISBLANK($A12),C11,Interim_Cuw_small/(1+VLOOKUP($A12,Radionuclide_specific,14,FALSE)*Other_alpha_small))</f>
        <v>0.1</v>
      </c>
      <c r="D12" s="67">
        <f>IF(ISBLANK($A12),D11,Interim_Cuw_large/(1+VLOOKUP($A12,Radionuclide_specific,14,FALSE)*Other_alpha_large))</f>
        <v>1E-3</v>
      </c>
      <c r="E12" s="39">
        <f>Other_WC_f*C12/1000</f>
        <v>7.8000000000000012E-5</v>
      </c>
      <c r="F12" s="39">
        <f>Other_WC_f*D12/1000</f>
        <v>7.8000000000000005E-7</v>
      </c>
      <c r="G12" s="47">
        <f>Other_WCp_cereal*(Other_RH*M12+(1-Other_RH)*K12)/Other_gamma</f>
        <v>5.8672533920058674E-6</v>
      </c>
      <c r="H12" s="47">
        <f>Other_WCp_cereal*(Other_RH*N12+(1-Other_RH)*L12)/Other_gamma</f>
        <v>5.8672533920058667E-8</v>
      </c>
      <c r="I12" s="47">
        <f>Other_WCp_veg*(Other_RH*M12+(1-Other_RH)*K12)/Other_gamma</f>
        <v>4.4982276005378319E-5</v>
      </c>
      <c r="J12" s="47">
        <f>Other_WCp_veg*(Other_RH*N12+(1-Other_RH)*L12)/Other_gamma</f>
        <v>4.4982276005378314E-7</v>
      </c>
      <c r="K12" s="39">
        <f>Other_I_irr*Interim_Cuw_small/(Other_P+1000*Other_I_irr)</f>
        <v>4.4444444444444447E-5</v>
      </c>
      <c r="L12" s="39">
        <f>Other_I_irr*Interim_Cuw_large/(Other_P+1000*Other_I_irr)</f>
        <v>4.4444444444444444E-7</v>
      </c>
      <c r="M12" s="39">
        <f>K12</f>
        <v>4.4444444444444447E-5</v>
      </c>
      <c r="N12" s="39">
        <f>L12</f>
        <v>4.4444444444444444E-7</v>
      </c>
      <c r="S12" s="39">
        <f>VLOOKUP($A12,Radionuclide_specific,11,FALSE)</f>
        <v>0</v>
      </c>
      <c r="T12" s="39">
        <f>VLOOKUP($A12,Radionuclide_specific,12,FALSE)</f>
        <v>0</v>
      </c>
    </row>
    <row r="13" spans="1:20">
      <c r="A13" s="4"/>
      <c r="B13" s="4" t="s">
        <v>43</v>
      </c>
      <c r="C13" s="67">
        <v>0</v>
      </c>
      <c r="D13" s="67">
        <v>0</v>
      </c>
      <c r="E13" s="39">
        <f>(1-Other_WC_f)*Other_WEQ_f*Other_R_f*C12/1000</f>
        <v>9.4379999999999999E-9</v>
      </c>
      <c r="F13" s="39">
        <f>(1-Other_WC_f)*Other_WEQ_f*Other_R_f*D12/1000</f>
        <v>9.4379999999999988E-11</v>
      </c>
      <c r="G13" s="47">
        <f>(1-Other_WCp_cereal)*Other_WEQp_cereal*Other_Rp*G12/Other_WCp_cereal</f>
        <v>1.3011221122112216E-5</v>
      </c>
      <c r="H13" s="47">
        <f>(1-Other_WCp_cereal)*Other_WEQp_cereal*Other_Rp*H12/Other_WCp_cereal</f>
        <v>1.3011221122112215E-7</v>
      </c>
      <c r="I13" s="47">
        <f>(1-Other_WCp_veg)*Other_WEQp_veg*Other_Rp*I12/Other_WCp_veg</f>
        <v>1.0772277227722768E-6</v>
      </c>
      <c r="J13" s="47">
        <f>(1-Other_WCp_veg)*Other_WEQp_veg*Other_Rp*J12/Other_WCp_veg</f>
        <v>1.0772277227722767E-8</v>
      </c>
      <c r="S13" s="39">
        <f t="shared" ref="S13:S31" si="2">IF(ISBLANK($A13),S12,VLOOKUP($A13,Radionuclide_specific,11,FALSE))</f>
        <v>0</v>
      </c>
      <c r="T13" s="39">
        <f t="shared" ref="T13:T31" si="3">IF(ISBLANK($A13),T12,VLOOKUP($A13,Radionuclide_specific,12,FALSE))</f>
        <v>0</v>
      </c>
    </row>
    <row r="14" spans="1:20">
      <c r="A14" s="4" t="s">
        <v>10</v>
      </c>
      <c r="B14" s="4"/>
      <c r="C14" s="67">
        <f t="shared" ref="C14:C31" si="4">IF(ISBLANK($A14),C13,Interim_Cuw_small/(1+VLOOKUP($A14,Radionuclide_specific,14,FALSE)*Other_alpha_small))</f>
        <v>9.9990000999900019E-2</v>
      </c>
      <c r="D14" s="67">
        <f t="shared" ref="D14:D31" si="5">IF(ISBLANK($A14),D13,Interim_Cuw_large/(1+VLOOKUP($A14,Radionuclide_specific,14,FALSE)*Other_alpha_large))</f>
        <v>9.9750623441396524E-4</v>
      </c>
      <c r="E14" s="39">
        <f t="shared" ref="E14:E44" si="6">C14*VLOOKUP(IF(ISBLANK($A14),$B14,$A14),Radionuclide_specific,5,FALSE)/1000</f>
        <v>39.99600039996001</v>
      </c>
      <c r="F14" s="39">
        <f t="shared" ref="F14:F44" si="7">D14*VLOOKUP(IF(ISBLANK($A14),$B14,$A14),Radionuclide_specific,5,FALSE)/1000</f>
        <v>0.39900249376558611</v>
      </c>
      <c r="G14" s="47">
        <f>O14*Other_Sp_cereal</f>
        <v>3.5454545454545454E-2</v>
      </c>
      <c r="H14" s="47">
        <f>P14*Other_Sp_cereal</f>
        <v>3.545454545454545E-4</v>
      </c>
      <c r="I14" s="47">
        <f>Q14*Other_Sp_veg</f>
        <v>2.7272727272727271E-3</v>
      </c>
      <c r="J14" s="47">
        <f>R14*Other_Sp_veg</f>
        <v>2.727272727272727E-5</v>
      </c>
      <c r="O14" s="39">
        <f>Other_CDc_cereal*Other_I_irr*Interim_Cuw_small/Other_Fc</f>
        <v>9.0909090909090904E-5</v>
      </c>
      <c r="P14" s="39">
        <f>Other_CDc_cereal*Other_I_irr*Interim_Cuw_large/Other_Fc</f>
        <v>9.0909090909090904E-7</v>
      </c>
      <c r="Q14" s="39">
        <f>Other_CDc_veg*Other_I_irr*Interim_Cuw_small/Other_Fc</f>
        <v>9.0909090909090904E-5</v>
      </c>
      <c r="R14" s="39">
        <f>Other_CDc_veg*Other_I_irr*Interim_Cuw_large/Other_Fc</f>
        <v>9.0909090909090904E-7</v>
      </c>
      <c r="S14" s="39">
        <f t="shared" si="2"/>
        <v>4.9899999999999999E-4</v>
      </c>
      <c r="T14" s="39">
        <f t="shared" si="3"/>
        <v>4.9799999999999998E-6</v>
      </c>
    </row>
    <row r="15" spans="1:20">
      <c r="A15" s="4" t="s">
        <v>240</v>
      </c>
      <c r="B15" s="4"/>
      <c r="C15" s="67">
        <f>IF(ISBLANK($A15),C11,Interim_Cuw_small/(1+VLOOKUP($A15,Radionuclide_specific,14,FALSE)*Other_alpha_small))</f>
        <v>9.9601593625498017E-2</v>
      </c>
      <c r="D15" s="67">
        <f>IF(ISBLANK($A15),D11,Interim_Cuw_large/(1+VLOOKUP($A15,Radionuclide_specific,14,FALSE)*Other_alpha_large))</f>
        <v>9.0909090909090909E-4</v>
      </c>
      <c r="E15" s="39">
        <f t="shared" si="6"/>
        <v>7.9681274900398405E-2</v>
      </c>
      <c r="F15" s="39">
        <f t="shared" si="7"/>
        <v>7.2727272727272734E-4</v>
      </c>
      <c r="G15" s="39">
        <f t="shared" ref="G15:G44" si="8">VLOOKUP(IF(ISBLANK($A15),$B15,$A15),Radionuclide_specific,9,FALSE)*Interim_dirr_small/86400</f>
        <v>7.0966514459665144E-4</v>
      </c>
      <c r="H15" s="39">
        <f t="shared" ref="H15:H44" si="9">VLOOKUP(IF(ISBLANK($A15),$B15,$A15),Radionuclide_specific,9,FALSE)*Interim_dirr_large/86400</f>
        <v>7.096651445966513E-6</v>
      </c>
      <c r="I15" s="39">
        <f t="shared" ref="I15:I44" si="10">VLOOKUP(IF(ISBLANK($A15),$B15,$A15),Radionuclide_specific,10,FALSE)*Interim_dirr_small/86400</f>
        <v>2.3401826484018267E-4</v>
      </c>
      <c r="J15" s="39">
        <f t="shared" ref="J15:J44" si="11">VLOOKUP(IF(ISBLANK($A15),$B15,$A15),Radionuclide_specific,10,FALSE)*Interim_dirr_large/86400</f>
        <v>2.3401826484018259E-6</v>
      </c>
      <c r="O15" s="39"/>
      <c r="P15" s="39"/>
      <c r="Q15" s="39"/>
      <c r="R15" s="39"/>
      <c r="S15" s="39">
        <f>IF(ISBLANK($A15),S11,VLOOKUP($A15,Radionuclide_specific,11,FALSE))</f>
        <v>1.9900000000000001E-2</v>
      </c>
      <c r="T15" s="39">
        <f>IF(ISBLANK($A15),T11,VLOOKUP($A15,Radionuclide_specific,12,FALSE))</f>
        <v>1.8200000000000001E-4</v>
      </c>
    </row>
    <row r="16" spans="1:20">
      <c r="A16" s="4" t="s">
        <v>237</v>
      </c>
      <c r="B16" s="4"/>
      <c r="C16" s="67">
        <f>IF(ISBLANK($A16),C12,Interim_Cuw_small/(1+VLOOKUP($A16,Radionuclide_specific,14,FALSE)*Other_alpha_small))</f>
        <v>3.875968992248062E-2</v>
      </c>
      <c r="D16" s="67">
        <f>IF(ISBLANK($A16),D12,Interim_Cuw_large/(1+VLOOKUP($A16,Radionuclide_specific,14,FALSE)*Other_alpha_large))</f>
        <v>2.469135802469136E-5</v>
      </c>
      <c r="E16" s="39">
        <f t="shared" ref="E16:E17" si="12">C16*VLOOKUP(IF(ISBLANK($A16),$B16,$A16),Radionuclide_specific,5,FALSE)/1000</f>
        <v>9.3023255813953487E-3</v>
      </c>
      <c r="F16" s="39">
        <f t="shared" ref="F16:F17" si="13">D16*VLOOKUP(IF(ISBLANK($A16),$B16,$A16),Radionuclide_specific,5,FALSE)/1000</f>
        <v>5.9259259259259267E-6</v>
      </c>
      <c r="G16" s="39">
        <f t="shared" si="8"/>
        <v>1.6400304414003044E-4</v>
      </c>
      <c r="H16" s="39">
        <f t="shared" si="9"/>
        <v>1.6400304414003041E-6</v>
      </c>
      <c r="I16" s="39">
        <f t="shared" si="10"/>
        <v>2.4543378995433792E-4</v>
      </c>
      <c r="J16" s="39">
        <f t="shared" si="11"/>
        <v>2.4543378995433783E-6</v>
      </c>
      <c r="O16" s="39"/>
      <c r="P16" s="39"/>
      <c r="Q16" s="39"/>
      <c r="R16" s="39"/>
      <c r="S16" s="39">
        <f>IF(ISBLANK($A16),S12,VLOOKUP($A16,Radionuclide_specific,11,FALSE))</f>
        <v>3.06</v>
      </c>
      <c r="T16" s="39">
        <f>IF(ISBLANK($A16),T12,VLOOKUP($A16,Radionuclide_specific,12,FALSE))</f>
        <v>1.9499999999999999E-3</v>
      </c>
    </row>
    <row r="17" spans="1:20">
      <c r="A17" s="4" t="s">
        <v>236</v>
      </c>
      <c r="B17" s="4"/>
      <c r="C17" s="67">
        <f>IF(ISBLANK($A17),C13,Interim_Cuw_small/(1+VLOOKUP($A17,Radionuclide_specific,14,FALSE)*Other_alpha_small))</f>
        <v>5.3191489361702128E-2</v>
      </c>
      <c r="D17" s="67">
        <f>IF(ISBLANK($A17),D13,Interim_Cuw_large/(1+VLOOKUP($A17,Radionuclide_specific,14,FALSE)*Other_alpha_large))</f>
        <v>4.347826086956522E-5</v>
      </c>
      <c r="E17" s="39">
        <f t="shared" si="12"/>
        <v>4.0425531914893616E-3</v>
      </c>
      <c r="F17" s="39">
        <f t="shared" si="13"/>
        <v>3.3043478260869567E-6</v>
      </c>
      <c r="G17" s="39">
        <f t="shared" si="8"/>
        <v>1.0121765601217656E-4</v>
      </c>
      <c r="H17" s="39">
        <f t="shared" si="9"/>
        <v>1.0121765601217653E-6</v>
      </c>
      <c r="I17" s="39">
        <f t="shared" si="10"/>
        <v>1.7617960426179603E-4</v>
      </c>
      <c r="J17" s="39">
        <f t="shared" si="11"/>
        <v>1.7617960426179601E-6</v>
      </c>
      <c r="O17" s="39"/>
      <c r="P17" s="39"/>
      <c r="Q17" s="39"/>
      <c r="R17" s="39"/>
      <c r="S17" s="39">
        <f>IF(ISBLANK($A17),S13,VLOOKUP($A17,Radionuclide_specific,11,FALSE))</f>
        <v>2.33</v>
      </c>
      <c r="T17" s="39">
        <f>IF(ISBLANK($A17),T13,VLOOKUP($A17,Radionuclide_specific,12,FALSE))</f>
        <v>1.91E-3</v>
      </c>
    </row>
    <row r="18" spans="1:20">
      <c r="A18" s="4" t="s">
        <v>11</v>
      </c>
      <c r="B18" s="4"/>
      <c r="C18" s="67">
        <f>IF(ISBLANK($A18),C14,Interim_Cuw_small/(1+VLOOKUP($A18,Radionuclide_specific,14,FALSE)*Other_alpha_small))</f>
        <v>5.3191489361702128E-2</v>
      </c>
      <c r="D18" s="67">
        <f>IF(ISBLANK($A18),D14,Interim_Cuw_large/(1+VLOOKUP($A18,Radionuclide_specific,14,FALSE)*Other_alpha_large))</f>
        <v>4.347826086956522E-5</v>
      </c>
      <c r="E18" s="39">
        <f t="shared" si="6"/>
        <v>4.0425531914893616E-3</v>
      </c>
      <c r="F18" s="39">
        <f t="shared" si="7"/>
        <v>3.3043478260869567E-6</v>
      </c>
      <c r="G18" s="39">
        <f t="shared" si="8"/>
        <v>2.0167427701674279E-4</v>
      </c>
      <c r="H18" s="39">
        <f t="shared" si="9"/>
        <v>2.0167427701674275E-6</v>
      </c>
      <c r="I18" s="39">
        <f t="shared" si="10"/>
        <v>2.834855403348554E-4</v>
      </c>
      <c r="J18" s="39">
        <f t="shared" si="11"/>
        <v>2.8348554033485535E-6</v>
      </c>
      <c r="S18" s="39">
        <f>IF(ISBLANK($A18),S14,VLOOKUP($A18,Radionuclide_specific,11,FALSE))</f>
        <v>2.34</v>
      </c>
      <c r="T18" s="39">
        <f>IF(ISBLANK($A18),T14,VLOOKUP($A18,Radionuclide_specific,12,FALSE))</f>
        <v>1.91E-3</v>
      </c>
    </row>
    <row r="19" spans="1:20">
      <c r="A19" s="4" t="s">
        <v>178</v>
      </c>
      <c r="B19" s="4"/>
      <c r="C19" s="67">
        <f t="shared" si="4"/>
        <v>9.9009900990099015E-2</v>
      </c>
      <c r="D19" s="67">
        <f t="shared" si="5"/>
        <v>8.0000000000000004E-4</v>
      </c>
      <c r="E19" s="39">
        <f t="shared" si="6"/>
        <v>0.33663366336633666</v>
      </c>
      <c r="F19" s="39">
        <f t="shared" si="7"/>
        <v>2.7200000000000002E-3</v>
      </c>
      <c r="G19" s="39">
        <f t="shared" si="8"/>
        <v>3.4436834094368339E-4</v>
      </c>
      <c r="H19" s="39">
        <f t="shared" si="9"/>
        <v>3.443683409436834E-6</v>
      </c>
      <c r="I19" s="39">
        <f t="shared" si="10"/>
        <v>4.2237442922374432E-4</v>
      </c>
      <c r="J19" s="39">
        <f t="shared" si="11"/>
        <v>4.223744292237442E-6</v>
      </c>
      <c r="S19" s="39">
        <f t="shared" si="2"/>
        <v>4.9399999999999999E-2</v>
      </c>
      <c r="T19" s="39">
        <f t="shared" si="3"/>
        <v>3.9899999999999999E-4</v>
      </c>
    </row>
    <row r="20" spans="1:20">
      <c r="A20" s="4" t="s">
        <v>17</v>
      </c>
      <c r="B20" s="4"/>
      <c r="C20" s="67">
        <f>IF(ISBLANK($A20),C18,Interim_Cuw_small/(1+VLOOKUP($A20,Radionuclide_specific,14,FALSE)*Other_alpha_small))</f>
        <v>9.765625E-2</v>
      </c>
      <c r="D20" s="67">
        <f>IF(ISBLANK($A20),D18,Interim_Cuw_large/(1+VLOOKUP($A20,Radionuclide_specific,14,FALSE)*Other_alpha_large))</f>
        <v>6.2500000000000001E-4</v>
      </c>
      <c r="E20" s="39">
        <f t="shared" si="6"/>
        <v>2.8320312499999998E-4</v>
      </c>
      <c r="F20" s="39">
        <f t="shared" si="7"/>
        <v>1.8124999999999998E-6</v>
      </c>
      <c r="G20" s="39">
        <f t="shared" si="8"/>
        <v>1.3489345509893455E-3</v>
      </c>
      <c r="H20" s="39">
        <f t="shared" si="9"/>
        <v>1.3489345509893454E-5</v>
      </c>
      <c r="I20" s="39">
        <f t="shared" si="10"/>
        <v>1.3793759512937597E-3</v>
      </c>
      <c r="J20" s="39">
        <f t="shared" si="11"/>
        <v>1.3793759512937594E-5</v>
      </c>
      <c r="S20" s="39">
        <f>IF(ISBLANK($A20),S18,VLOOKUP($A20,Radionuclide_specific,11,FALSE))</f>
        <v>0.11700000000000001</v>
      </c>
      <c r="T20" s="39">
        <f>IF(ISBLANK($A20),T18,VLOOKUP($A20,Radionuclide_specific,12,FALSE))</f>
        <v>7.4899999999999999E-4</v>
      </c>
    </row>
    <row r="21" spans="1:20">
      <c r="A21" s="4"/>
      <c r="B21" s="4" t="s">
        <v>105</v>
      </c>
      <c r="C21" s="67">
        <f t="shared" si="4"/>
        <v>9.765625E-2</v>
      </c>
      <c r="D21" s="67">
        <f t="shared" si="5"/>
        <v>6.2500000000000001E-4</v>
      </c>
      <c r="E21" s="39">
        <f t="shared" si="6"/>
        <v>0</v>
      </c>
      <c r="F21" s="39">
        <f t="shared" si="7"/>
        <v>0</v>
      </c>
      <c r="G21" s="39">
        <f t="shared" si="8"/>
        <v>0</v>
      </c>
      <c r="H21" s="39">
        <f t="shared" si="9"/>
        <v>0</v>
      </c>
      <c r="I21" s="39">
        <f t="shared" si="10"/>
        <v>0</v>
      </c>
      <c r="J21" s="39">
        <f t="shared" si="11"/>
        <v>0</v>
      </c>
      <c r="S21" s="39">
        <f t="shared" si="2"/>
        <v>0.11700000000000001</v>
      </c>
      <c r="T21" s="39">
        <f t="shared" si="3"/>
        <v>7.4899999999999999E-4</v>
      </c>
    </row>
    <row r="22" spans="1:20">
      <c r="A22" s="4" t="s">
        <v>66</v>
      </c>
      <c r="B22" s="4"/>
      <c r="C22" s="67">
        <f t="shared" si="4"/>
        <v>6.097560975609756E-2</v>
      </c>
      <c r="D22" s="67">
        <f t="shared" si="5"/>
        <v>5.8823529411764708E-5</v>
      </c>
      <c r="E22" s="39">
        <f t="shared" si="6"/>
        <v>3.3536585365853658E-3</v>
      </c>
      <c r="F22" s="39">
        <f t="shared" si="7"/>
        <v>3.235294117647059E-6</v>
      </c>
      <c r="G22" s="39">
        <f t="shared" si="8"/>
        <v>1.8607305936073062E-5</v>
      </c>
      <c r="H22" s="39">
        <f t="shared" si="9"/>
        <v>1.8607305936073056E-7</v>
      </c>
      <c r="I22" s="39">
        <f t="shared" si="10"/>
        <v>1.9786910197869102E-4</v>
      </c>
      <c r="J22" s="39">
        <f t="shared" si="11"/>
        <v>1.9786910197869101E-6</v>
      </c>
      <c r="S22" s="39">
        <f t="shared" si="2"/>
        <v>1.95</v>
      </c>
      <c r="T22" s="39">
        <f t="shared" si="3"/>
        <v>1.8799999999999999E-3</v>
      </c>
    </row>
    <row r="23" spans="1:20">
      <c r="A23" s="4"/>
      <c r="B23" s="4" t="s">
        <v>106</v>
      </c>
      <c r="C23" s="67">
        <f t="shared" si="4"/>
        <v>6.097560975609756E-2</v>
      </c>
      <c r="D23" s="67">
        <f t="shared" si="5"/>
        <v>5.8823529411764708E-5</v>
      </c>
      <c r="E23" s="39">
        <f t="shared" si="6"/>
        <v>0</v>
      </c>
      <c r="F23" s="39">
        <f t="shared" si="7"/>
        <v>0</v>
      </c>
      <c r="G23" s="39">
        <f t="shared" si="8"/>
        <v>0</v>
      </c>
      <c r="H23" s="39">
        <f t="shared" si="9"/>
        <v>0</v>
      </c>
      <c r="I23" s="39">
        <f t="shared" si="10"/>
        <v>0</v>
      </c>
      <c r="J23" s="39">
        <f t="shared" si="11"/>
        <v>0</v>
      </c>
      <c r="S23" s="39">
        <f t="shared" si="2"/>
        <v>1.95</v>
      </c>
      <c r="T23" s="39">
        <f t="shared" si="3"/>
        <v>1.8799999999999999E-3</v>
      </c>
    </row>
    <row r="24" spans="1:20">
      <c r="A24" s="4" t="s">
        <v>67</v>
      </c>
      <c r="B24" s="4"/>
      <c r="C24" s="67">
        <f t="shared" si="4"/>
        <v>9.1911764705882346E-2</v>
      </c>
      <c r="D24" s="67">
        <f t="shared" si="5"/>
        <v>3.1250000000000001E-4</v>
      </c>
      <c r="E24" s="39">
        <f t="shared" si="6"/>
        <v>2.7573529411764708E-3</v>
      </c>
      <c r="F24" s="39">
        <f t="shared" si="7"/>
        <v>9.3749999999999992E-6</v>
      </c>
      <c r="G24" s="39">
        <f t="shared" si="8"/>
        <v>1.1472602739726026E-3</v>
      </c>
      <c r="H24" s="39">
        <f t="shared" si="9"/>
        <v>1.1472602739726026E-5</v>
      </c>
      <c r="I24" s="39">
        <f t="shared" si="10"/>
        <v>4.394977168949772E-4</v>
      </c>
      <c r="J24" s="39">
        <f t="shared" si="11"/>
        <v>4.3949771689497709E-6</v>
      </c>
      <c r="S24" s="39">
        <f t="shared" si="2"/>
        <v>0.40400000000000003</v>
      </c>
      <c r="T24" s="39">
        <f t="shared" si="3"/>
        <v>1.3699999999999999E-3</v>
      </c>
    </row>
    <row r="25" spans="1:20">
      <c r="A25" s="4" t="s">
        <v>239</v>
      </c>
      <c r="B25" s="4"/>
      <c r="C25" s="67">
        <f t="shared" si="4"/>
        <v>9.1911764705882346E-2</v>
      </c>
      <c r="D25" s="67">
        <f t="shared" si="5"/>
        <v>3.1250000000000001E-4</v>
      </c>
      <c r="E25" s="39">
        <f t="shared" ref="E25" si="14">C25*VLOOKUP(IF(ISBLANK($A25),$B25,$A25),Radionuclide_specific,5,FALSE)/1000</f>
        <v>2.7573529411764708E-3</v>
      </c>
      <c r="F25" s="39">
        <f t="shared" ref="F25" si="15">D25*VLOOKUP(IF(ISBLANK($A25),$B25,$A25),Radionuclide_specific,5,FALSE)/1000</f>
        <v>9.3749999999999992E-6</v>
      </c>
      <c r="G25" s="39">
        <f t="shared" si="8"/>
        <v>8.0289193302891939E-5</v>
      </c>
      <c r="H25" s="39">
        <f t="shared" si="9"/>
        <v>8.0289193302891912E-7</v>
      </c>
      <c r="I25" s="39">
        <f t="shared" si="10"/>
        <v>7.8386605783866068E-5</v>
      </c>
      <c r="J25" s="39">
        <f t="shared" si="11"/>
        <v>7.8386605783866038E-7</v>
      </c>
      <c r="S25" s="39">
        <f t="shared" si="2"/>
        <v>0.39800000000000002</v>
      </c>
      <c r="T25" s="39">
        <f t="shared" si="3"/>
        <v>1.3699999999999999E-3</v>
      </c>
    </row>
    <row r="26" spans="1:20">
      <c r="A26" s="4" t="s">
        <v>177</v>
      </c>
      <c r="B26" s="4"/>
      <c r="C26" s="67">
        <f>IF(ISBLANK($A26),C24,Interim_Cuw_small/(1+VLOOKUP($A26,Radionuclide_specific,14,FALSE)*Other_alpha_small))</f>
        <v>6.3291139240506333E-2</v>
      </c>
      <c r="D26" s="67">
        <f>IF(ISBLANK($A26),D24,Interim_Cuw_large/(1+VLOOKUP($A26,Radionuclide_specific,14,FALSE)*Other_alpha_large))</f>
        <v>6.4516129032258067E-5</v>
      </c>
      <c r="E26" s="39">
        <f t="shared" si="6"/>
        <v>0.15822784810126583</v>
      </c>
      <c r="F26" s="39">
        <f t="shared" si="7"/>
        <v>1.6129032258064516E-4</v>
      </c>
      <c r="G26" s="39">
        <f t="shared" si="8"/>
        <v>9.3417047184170482E-4</v>
      </c>
      <c r="H26" s="39">
        <f t="shared" si="9"/>
        <v>9.3417047184170454E-6</v>
      </c>
      <c r="I26" s="39">
        <f t="shared" si="10"/>
        <v>2.606544901065449E-4</v>
      </c>
      <c r="J26" s="39">
        <f t="shared" si="11"/>
        <v>2.6065449010654486E-6</v>
      </c>
      <c r="S26" s="39">
        <f>IF(ISBLANK($A26),S24,VLOOKUP($A26,Radionuclide_specific,11,FALSE))</f>
        <v>1.83</v>
      </c>
      <c r="T26" s="39">
        <f>IF(ISBLANK($A26),T24,VLOOKUP($A26,Radionuclide_specific,12,FALSE))</f>
        <v>1.8699999999999999E-3</v>
      </c>
    </row>
    <row r="27" spans="1:20">
      <c r="A27" s="4" t="s">
        <v>12</v>
      </c>
      <c r="B27" s="4"/>
      <c r="C27" s="67">
        <f>IF(ISBLANK($A27),C24,Interim_Cuw_small/(1+VLOOKUP($A27,Radionuclide_specific,14,FALSE)*Other_alpha_small))</f>
        <v>6.3291139240506333E-2</v>
      </c>
      <c r="D27" s="67">
        <f>IF(ISBLANK($A27),D24,Interim_Cuw_large/(1+VLOOKUP($A27,Radionuclide_specific,14,FALSE)*Other_alpha_large))</f>
        <v>6.4516129032258067E-5</v>
      </c>
      <c r="E27" s="39">
        <f t="shared" si="6"/>
        <v>0.15822784810126583</v>
      </c>
      <c r="F27" s="39">
        <f t="shared" si="7"/>
        <v>1.6129032258064516E-4</v>
      </c>
      <c r="G27" s="39">
        <f t="shared" si="8"/>
        <v>1.1206240487062406E-3</v>
      </c>
      <c r="H27" s="39">
        <f t="shared" si="9"/>
        <v>1.1206240487062402E-5</v>
      </c>
      <c r="I27" s="39">
        <f t="shared" si="10"/>
        <v>4.1666666666666669E-4</v>
      </c>
      <c r="J27" s="39">
        <f t="shared" si="11"/>
        <v>4.166666666666666E-6</v>
      </c>
      <c r="S27" s="39">
        <f>IF(ISBLANK($A27),S24,VLOOKUP($A27,Radionuclide_specific,11,FALSE))</f>
        <v>1.83</v>
      </c>
      <c r="T27" s="39">
        <f>IF(ISBLANK($A27),T24,VLOOKUP($A27,Radionuclide_specific,12,FALSE))</f>
        <v>1.8699999999999999E-3</v>
      </c>
    </row>
    <row r="28" spans="1:20">
      <c r="A28" s="4"/>
      <c r="B28" s="4" t="s">
        <v>107</v>
      </c>
      <c r="C28" s="67">
        <f>IF(ISBLANK($A28),Other_yield_Ba137m*C27,Interim_Cuw_small/(1+VLOOKUP($A28,Radionuclide_specific,14,FALSE)*Other_alpha_small))</f>
        <v>5.9873417721518989E-2</v>
      </c>
      <c r="D28" s="67">
        <f>IF(ISBLANK($A28),Other_yield_Ba137m*D27,Interim_Cuw_large/(1+VLOOKUP($A28,Radionuclide_specific,14,FALSE)*Other_alpha_large))</f>
        <v>6.1032258064516128E-5</v>
      </c>
      <c r="E28" s="39">
        <f t="shared" si="6"/>
        <v>0</v>
      </c>
      <c r="F28" s="39">
        <f t="shared" si="7"/>
        <v>0</v>
      </c>
      <c r="G28" s="39">
        <f t="shared" si="8"/>
        <v>1.2937595129375952E-9</v>
      </c>
      <c r="H28" s="39">
        <f t="shared" si="9"/>
        <v>1.293759512937595E-11</v>
      </c>
      <c r="I28" s="39">
        <f t="shared" si="10"/>
        <v>2.530441400304414E-8</v>
      </c>
      <c r="J28" s="39">
        <f t="shared" si="11"/>
        <v>2.5304414003044136E-10</v>
      </c>
      <c r="S28" s="39">
        <f>IF(ISBLANK($A28),S27*Other_yield_Ba137m,VLOOKUP($A28,Radionuclide_specific,11,FALSE))</f>
        <v>1.7311799999999999</v>
      </c>
      <c r="T28" s="39">
        <f>IF(ISBLANK($A28),T27*Other_yield_Ba137m,VLOOKUP($A28,Radionuclide_specific,12,FALSE))</f>
        <v>1.7690199999999998E-3</v>
      </c>
    </row>
    <row r="29" spans="1:20">
      <c r="A29" s="4" t="s">
        <v>22</v>
      </c>
      <c r="B29" s="4"/>
      <c r="C29" s="67">
        <f t="shared" si="4"/>
        <v>8.3333333333333343E-2</v>
      </c>
      <c r="D29" s="67">
        <f t="shared" si="5"/>
        <v>1.6666666666666666E-4</v>
      </c>
      <c r="E29" s="39">
        <f t="shared" si="6"/>
        <v>2.0833333333333333E-3</v>
      </c>
      <c r="F29" s="39">
        <f t="shared" si="7"/>
        <v>4.1666666666666669E-6</v>
      </c>
      <c r="G29" s="39">
        <f t="shared" si="8"/>
        <v>7.8196347031963477E-5</v>
      </c>
      <c r="H29" s="39">
        <f t="shared" si="9"/>
        <v>7.8196347031963459E-7</v>
      </c>
      <c r="I29" s="39">
        <f t="shared" si="10"/>
        <v>2.6636225266362252E-4</v>
      </c>
      <c r="J29" s="39">
        <f t="shared" si="11"/>
        <v>2.6636225266362251E-6</v>
      </c>
      <c r="S29" s="39">
        <f t="shared" si="2"/>
        <v>0.83199999999999996</v>
      </c>
      <c r="T29" s="39">
        <f t="shared" si="3"/>
        <v>1.66E-3</v>
      </c>
    </row>
    <row r="30" spans="1:20">
      <c r="A30" s="4" t="s">
        <v>19</v>
      </c>
      <c r="B30" s="4"/>
      <c r="C30" s="67">
        <f>IF(ISBLANK($A30),#REF!,Interim_Cuw_small/(1+VLOOKUP($A30,Radionuclide_specific,14,FALSE)*Other_alpha_small))</f>
        <v>5.5555555555555559E-2</v>
      </c>
      <c r="D30" s="67">
        <f>IF(ISBLANK($A30),#REF!,Interim_Cuw_large/(1+VLOOKUP($A30,Radionuclide_specific,14,FALSE)*Other_alpha_large))</f>
        <v>4.761904761904762E-5</v>
      </c>
      <c r="E30" s="39">
        <f t="shared" si="6"/>
        <v>2E-3</v>
      </c>
      <c r="F30" s="39">
        <f t="shared" si="7"/>
        <v>1.7142857142857145E-6</v>
      </c>
      <c r="G30" s="39">
        <f t="shared" si="8"/>
        <v>9.3987823439878231E-6</v>
      </c>
      <c r="H30" s="39">
        <f t="shared" si="9"/>
        <v>9.3987823439878226E-8</v>
      </c>
      <c r="I30" s="39">
        <f t="shared" si="10"/>
        <v>1.8093607305936073E-4</v>
      </c>
      <c r="J30" s="39">
        <f t="shared" si="11"/>
        <v>1.8093607305936069E-6</v>
      </c>
      <c r="S30" s="39">
        <f>IF(ISBLANK($A30),#REF!,VLOOKUP($A30,Radionuclide_specific,11,FALSE))</f>
        <v>2.2200000000000002</v>
      </c>
      <c r="T30" s="39">
        <f>IF(ISBLANK($A30),#REF!,VLOOKUP($A30,Radionuclide_specific,12,FALSE))</f>
        <v>1.9E-3</v>
      </c>
    </row>
    <row r="31" spans="1:20">
      <c r="A31" s="4" t="s">
        <v>14</v>
      </c>
      <c r="B31" s="4"/>
      <c r="C31" s="67">
        <f t="shared" si="4"/>
        <v>8.7108013937282222E-2</v>
      </c>
      <c r="D31" s="67">
        <f t="shared" si="5"/>
        <v>2.1276595744680851E-4</v>
      </c>
      <c r="E31" s="39">
        <f t="shared" si="6"/>
        <v>3.4843205574912887E-4</v>
      </c>
      <c r="F31" s="39">
        <f t="shared" si="7"/>
        <v>8.5106382978723408E-7</v>
      </c>
      <c r="G31" s="39">
        <f t="shared" si="8"/>
        <v>5.0038051750380514E-4</v>
      </c>
      <c r="H31" s="39">
        <f t="shared" si="9"/>
        <v>5.0038051750380514E-6</v>
      </c>
      <c r="I31" s="39">
        <f t="shared" si="10"/>
        <v>5.7838660578386606E-4</v>
      </c>
      <c r="J31" s="39">
        <f t="shared" si="11"/>
        <v>5.7838660578386598E-6</v>
      </c>
      <c r="S31" s="39">
        <f t="shared" si="2"/>
        <v>0.64400000000000002</v>
      </c>
      <c r="T31" s="39">
        <f t="shared" si="3"/>
        <v>1.57E-3</v>
      </c>
    </row>
    <row r="32" spans="1:20">
      <c r="A32" s="4" t="s">
        <v>156</v>
      </c>
      <c r="B32" s="4"/>
      <c r="C32" s="67">
        <f>IF(ISBLANK($A32),#REF!,Interim_Cuw_small/(1+VLOOKUP($A32,Radionuclide_specific,14,FALSE)*Other_alpha_small))</f>
        <v>2.0833333333333332E-2</v>
      </c>
      <c r="D32" s="67">
        <f>IF(ISBLANK($A32),#REF!,Interim_Cuw_large/(1+VLOOKUP($A32,Radionuclide_specific,14,FALSE)*Other_alpha_large))</f>
        <v>1.0416666666666666E-5</v>
      </c>
      <c r="E32" s="39">
        <f t="shared" si="6"/>
        <v>1.25E-4</v>
      </c>
      <c r="F32" s="39">
        <f t="shared" si="7"/>
        <v>6.2499999999999997E-8</v>
      </c>
      <c r="G32" s="39">
        <f t="shared" si="8"/>
        <v>1.5087519025875192E-5</v>
      </c>
      <c r="H32" s="39">
        <f t="shared" si="9"/>
        <v>1.5087519025875187E-7</v>
      </c>
      <c r="I32" s="39">
        <f t="shared" si="10"/>
        <v>2.0357686453576865E-4</v>
      </c>
      <c r="J32" s="39">
        <f t="shared" si="11"/>
        <v>2.0357686453576861E-6</v>
      </c>
      <c r="S32" s="39">
        <f>IF(ISBLANK($A32),#REF!,VLOOKUP($A32,Radionuclide_specific,11,FALSE))</f>
        <v>3.95</v>
      </c>
      <c r="T32" s="39">
        <f>IF(ISBLANK($A32),#REF!,VLOOKUP($A32,Radionuclide_specific,12,FALSE))</f>
        <v>1.98E-3</v>
      </c>
    </row>
    <row r="33" spans="1:20">
      <c r="A33" s="4" t="s">
        <v>20</v>
      </c>
      <c r="B33" s="4"/>
      <c r="C33" s="67">
        <f t="shared" ref="C33:C44" si="16">IF(ISBLANK($A33),C32,Interim_Cuw_small/(1+VLOOKUP($A33,Radionuclide_specific,14,FALSE)*Other_alpha_small))</f>
        <v>2.0833333333333332E-2</v>
      </c>
      <c r="D33" s="67">
        <f t="shared" ref="D33:D44" si="17">IF(ISBLANK($A33),D32,Interim_Cuw_large/(1+VLOOKUP($A33,Radionuclide_specific,14,FALSE)*Other_alpha_large))</f>
        <v>1.0416666666666666E-5</v>
      </c>
      <c r="E33" s="39">
        <f t="shared" si="6"/>
        <v>1.25E-4</v>
      </c>
      <c r="F33" s="39">
        <f t="shared" si="7"/>
        <v>6.2499999999999997E-8</v>
      </c>
      <c r="G33" s="39">
        <f t="shared" si="8"/>
        <v>1.5087519025875192E-5</v>
      </c>
      <c r="H33" s="39">
        <f t="shared" si="9"/>
        <v>1.5087519025875187E-7</v>
      </c>
      <c r="I33" s="39">
        <f t="shared" si="10"/>
        <v>2.0357686453576865E-4</v>
      </c>
      <c r="J33" s="39">
        <f t="shared" si="11"/>
        <v>2.0357686453576861E-6</v>
      </c>
      <c r="S33" s="39">
        <f>IF(ISBLANK($A33),#REF!,VLOOKUP($A33,Radionuclide_specific,11,FALSE))</f>
        <v>3.95</v>
      </c>
      <c r="T33" s="39">
        <f>IF(ISBLANK($A33),#REF!,VLOOKUP($A33,Radionuclide_specific,12,FALSE))</f>
        <v>1.98E-3</v>
      </c>
    </row>
    <row r="34" spans="1:20">
      <c r="A34" s="4"/>
      <c r="B34" s="4" t="s">
        <v>29</v>
      </c>
      <c r="C34" s="67">
        <f t="shared" si="16"/>
        <v>2.0833333333333332E-2</v>
      </c>
      <c r="D34" s="67">
        <f t="shared" si="17"/>
        <v>1.0416666666666666E-5</v>
      </c>
      <c r="E34" s="39">
        <f t="shared" si="6"/>
        <v>8.3333333333333331E-5</v>
      </c>
      <c r="F34" s="39">
        <f t="shared" si="7"/>
        <v>4.1666666666666663E-8</v>
      </c>
      <c r="G34" s="39">
        <f t="shared" si="8"/>
        <v>1.6666666666666666E-4</v>
      </c>
      <c r="H34" s="39">
        <f t="shared" si="9"/>
        <v>1.6666666666666665E-6</v>
      </c>
      <c r="I34" s="39">
        <f t="shared" si="10"/>
        <v>2.4923896499238964E-4</v>
      </c>
      <c r="J34" s="39">
        <f t="shared" si="11"/>
        <v>2.4923896499238962E-6</v>
      </c>
      <c r="S34" s="39">
        <f t="shared" ref="S34:S44" si="18">IF(ISBLANK($A34),S33,VLOOKUP($A34,Radionuclide_specific,11,FALSE))</f>
        <v>3.95</v>
      </c>
      <c r="T34" s="39">
        <f t="shared" ref="T34:T44" si="19">IF(ISBLANK($A34),T33,VLOOKUP($A34,Radionuclide_specific,12,FALSE))</f>
        <v>1.98E-3</v>
      </c>
    </row>
    <row r="35" spans="1:20">
      <c r="A35" s="4"/>
      <c r="B35" s="4" t="s">
        <v>108</v>
      </c>
      <c r="C35" s="67">
        <f t="shared" si="16"/>
        <v>2.0833333333333332E-2</v>
      </c>
      <c r="D35" s="67">
        <f t="shared" si="17"/>
        <v>1.0416666666666666E-5</v>
      </c>
      <c r="E35" s="39">
        <f t="shared" si="6"/>
        <v>3.1250000000000001E-4</v>
      </c>
      <c r="F35" s="39">
        <f t="shared" si="7"/>
        <v>1.5625000000000001E-7</v>
      </c>
      <c r="G35" s="39">
        <f t="shared" si="8"/>
        <v>0</v>
      </c>
      <c r="H35" s="39">
        <f t="shared" si="9"/>
        <v>0</v>
      </c>
      <c r="I35" s="39">
        <f t="shared" si="10"/>
        <v>0</v>
      </c>
      <c r="J35" s="39">
        <f t="shared" si="11"/>
        <v>0</v>
      </c>
      <c r="S35" s="39">
        <f t="shared" si="18"/>
        <v>3.95</v>
      </c>
      <c r="T35" s="39">
        <f t="shared" si="19"/>
        <v>1.98E-3</v>
      </c>
    </row>
    <row r="36" spans="1:20">
      <c r="A36" s="4"/>
      <c r="B36" s="4" t="s">
        <v>109</v>
      </c>
      <c r="C36" s="67">
        <f t="shared" si="16"/>
        <v>2.0833333333333332E-2</v>
      </c>
      <c r="D36" s="67">
        <f t="shared" si="17"/>
        <v>1.0416666666666666E-5</v>
      </c>
      <c r="E36" s="39">
        <f t="shared" si="6"/>
        <v>1.25E-4</v>
      </c>
      <c r="F36" s="39">
        <f t="shared" si="7"/>
        <v>6.2499999999999997E-8</v>
      </c>
      <c r="G36" s="39">
        <f t="shared" si="8"/>
        <v>1.0197869101978691E-5</v>
      </c>
      <c r="H36" s="39">
        <f t="shared" si="9"/>
        <v>1.019786910197869E-7</v>
      </c>
      <c r="I36" s="39">
        <f t="shared" si="10"/>
        <v>1.9596651445966516E-4</v>
      </c>
      <c r="J36" s="39">
        <f t="shared" si="11"/>
        <v>1.9596651445966511E-6</v>
      </c>
      <c r="S36" s="39">
        <f t="shared" si="18"/>
        <v>3.95</v>
      </c>
      <c r="T36" s="39">
        <f t="shared" si="19"/>
        <v>1.98E-3</v>
      </c>
    </row>
    <row r="37" spans="1:20">
      <c r="A37" s="4"/>
      <c r="B37" s="4" t="s">
        <v>110</v>
      </c>
      <c r="C37" s="67">
        <f t="shared" si="16"/>
        <v>2.0833333333333332E-2</v>
      </c>
      <c r="D37" s="67">
        <f t="shared" si="17"/>
        <v>1.0416666666666666E-5</v>
      </c>
      <c r="E37" s="39">
        <f t="shared" si="6"/>
        <v>5.2083333333333322E-4</v>
      </c>
      <c r="F37" s="39">
        <f t="shared" si="7"/>
        <v>2.6041666666666668E-7</v>
      </c>
      <c r="G37" s="39">
        <f t="shared" si="8"/>
        <v>3.1012176560121766E-7</v>
      </c>
      <c r="H37" s="39">
        <f t="shared" si="9"/>
        <v>3.1012176560121764E-9</v>
      </c>
      <c r="I37" s="39">
        <f t="shared" si="10"/>
        <v>6.1263318112633184E-6</v>
      </c>
      <c r="J37" s="39">
        <f t="shared" si="11"/>
        <v>6.1263318112633173E-8</v>
      </c>
      <c r="S37" s="39">
        <f t="shared" si="18"/>
        <v>3.95</v>
      </c>
      <c r="T37" s="39">
        <f t="shared" si="19"/>
        <v>1.98E-3</v>
      </c>
    </row>
    <row r="38" spans="1:20">
      <c r="A38" s="4" t="s">
        <v>111</v>
      </c>
      <c r="B38" s="4"/>
      <c r="C38" s="67">
        <f t="shared" si="16"/>
        <v>9.9900099900099917E-2</v>
      </c>
      <c r="D38" s="67">
        <f t="shared" si="17"/>
        <v>9.7560975609756108E-4</v>
      </c>
      <c r="E38" s="39">
        <f t="shared" si="6"/>
        <v>9.5904095904095912E-5</v>
      </c>
      <c r="F38" s="39">
        <f t="shared" si="7"/>
        <v>9.3658536585365867E-7</v>
      </c>
      <c r="G38" s="39">
        <f t="shared" si="8"/>
        <v>1.0578386605783867E-4</v>
      </c>
      <c r="H38" s="39">
        <f t="shared" si="9"/>
        <v>1.0578386605783864E-6</v>
      </c>
      <c r="I38" s="39">
        <f t="shared" si="10"/>
        <v>2.929984779299848E-4</v>
      </c>
      <c r="J38" s="39">
        <f t="shared" si="11"/>
        <v>2.9299847792998474E-6</v>
      </c>
      <c r="S38" s="39">
        <f t="shared" si="18"/>
        <v>4.9899999999999996E-3</v>
      </c>
      <c r="T38" s="39">
        <f t="shared" si="19"/>
        <v>4.8699999999999998E-5</v>
      </c>
    </row>
    <row r="39" spans="1:20">
      <c r="A39" s="4" t="s">
        <v>30</v>
      </c>
      <c r="B39" s="4"/>
      <c r="C39" s="67">
        <f>IF(ISBLANK($A39),C37,Interim_Cuw_small/(1+VLOOKUP($A39,Radionuclide_specific,14,FALSE)*Other_alpha_small))</f>
        <v>9.9900099900099917E-2</v>
      </c>
      <c r="D39" s="67">
        <f>IF(ISBLANK($A39),D37,Interim_Cuw_large/(1+VLOOKUP($A39,Radionuclide_specific,14,FALSE)*Other_alpha_large))</f>
        <v>9.7560975609756108E-4</v>
      </c>
      <c r="E39" s="39">
        <f t="shared" si="6"/>
        <v>9.5904095904095912E-5</v>
      </c>
      <c r="F39" s="39">
        <f t="shared" si="7"/>
        <v>9.3658536585365867E-7</v>
      </c>
      <c r="G39" s="39">
        <f t="shared" si="8"/>
        <v>1.0578386605783867E-4</v>
      </c>
      <c r="H39" s="39">
        <f t="shared" si="9"/>
        <v>1.0578386605783864E-6</v>
      </c>
      <c r="I39" s="39">
        <f t="shared" si="10"/>
        <v>2.929984779299848E-4</v>
      </c>
      <c r="J39" s="39">
        <f t="shared" si="11"/>
        <v>2.9299847792998474E-6</v>
      </c>
      <c r="S39" s="39">
        <f>IF(ISBLANK($A39),S37,VLOOKUP($A39,Radionuclide_specific,11,FALSE))</f>
        <v>4.9899999999999996E-3</v>
      </c>
      <c r="T39" s="39">
        <f>IF(ISBLANK($A39),T37,VLOOKUP($A39,Radionuclide_specific,12,FALSE))</f>
        <v>4.8699999999999998E-5</v>
      </c>
    </row>
    <row r="40" spans="1:20">
      <c r="A40" s="4"/>
      <c r="B40" s="4" t="s">
        <v>31</v>
      </c>
      <c r="C40" s="67">
        <f t="shared" si="16"/>
        <v>9.9900099900099917E-2</v>
      </c>
      <c r="D40" s="67">
        <f t="shared" si="17"/>
        <v>9.7560975609756108E-4</v>
      </c>
      <c r="E40" s="39">
        <f t="shared" si="6"/>
        <v>5.9940059940059951E-4</v>
      </c>
      <c r="F40" s="39">
        <f t="shared" si="7"/>
        <v>5.8536585365853666E-6</v>
      </c>
      <c r="G40" s="39">
        <f t="shared" si="8"/>
        <v>6.4117199391171993E-6</v>
      </c>
      <c r="H40" s="39">
        <f t="shared" si="9"/>
        <v>6.4117199391171989E-8</v>
      </c>
      <c r="I40" s="39">
        <f t="shared" si="10"/>
        <v>1.2595129375951293E-4</v>
      </c>
      <c r="J40" s="39">
        <f t="shared" si="11"/>
        <v>1.2595129375951292E-6</v>
      </c>
      <c r="S40" s="39">
        <f t="shared" si="18"/>
        <v>4.9899999999999996E-3</v>
      </c>
      <c r="T40" s="39">
        <f t="shared" si="19"/>
        <v>4.8699999999999998E-5</v>
      </c>
    </row>
    <row r="41" spans="1:20">
      <c r="A41" s="4"/>
      <c r="B41" s="4" t="s">
        <v>32</v>
      </c>
      <c r="C41" s="67">
        <f t="shared" si="16"/>
        <v>9.9900099900099917E-2</v>
      </c>
      <c r="D41" s="67">
        <f t="shared" si="17"/>
        <v>9.7560975609756108E-4</v>
      </c>
      <c r="E41" s="39">
        <f t="shared" si="6"/>
        <v>9.9900099900099922E-4</v>
      </c>
      <c r="F41" s="39">
        <f t="shared" si="7"/>
        <v>9.756097560975611E-6</v>
      </c>
      <c r="G41" s="39">
        <f t="shared" si="8"/>
        <v>0</v>
      </c>
      <c r="H41" s="39">
        <f t="shared" si="9"/>
        <v>0</v>
      </c>
      <c r="I41" s="39">
        <f t="shared" si="10"/>
        <v>0</v>
      </c>
      <c r="J41" s="39">
        <f t="shared" si="11"/>
        <v>0</v>
      </c>
      <c r="S41" s="39">
        <f t="shared" si="18"/>
        <v>4.9899999999999996E-3</v>
      </c>
      <c r="T41" s="39">
        <f t="shared" si="19"/>
        <v>4.8699999999999998E-5</v>
      </c>
    </row>
    <row r="42" spans="1:20">
      <c r="A42" s="4" t="s">
        <v>13</v>
      </c>
      <c r="C42" s="67">
        <f>IF(ISBLANK($A42),#REF!,Interim_Cuw_small/(1+VLOOKUP($A42,Radionuclide_specific,14,FALSE)*Other_alpha_small))</f>
        <v>1.7241379310344827E-2</v>
      </c>
      <c r="D42" s="67">
        <f>IF(ISBLANK($A42),#REF!,Interim_Cuw_large/(1+VLOOKUP($A42,Radionuclide_specific,14,FALSE)*Other_alpha_large))</f>
        <v>8.2644628099173556E-6</v>
      </c>
      <c r="E42" s="39">
        <f t="shared" si="6"/>
        <v>5.1724137931034484E-4</v>
      </c>
      <c r="F42" s="39">
        <f t="shared" si="7"/>
        <v>2.4793388429752067E-7</v>
      </c>
      <c r="G42" s="39">
        <f t="shared" si="8"/>
        <v>1.9786910197869101E-5</v>
      </c>
      <c r="H42" s="39">
        <f t="shared" si="9"/>
        <v>1.9786910197869099E-7</v>
      </c>
      <c r="I42" s="39">
        <f t="shared" si="10"/>
        <v>2.0928462709284628E-4</v>
      </c>
      <c r="J42" s="39">
        <f t="shared" si="11"/>
        <v>2.0928462709284625E-6</v>
      </c>
      <c r="S42" s="39">
        <f>IF(ISBLANK($A42),#REF!,VLOOKUP($A42,Radionuclide_specific,11,FALSE))</f>
        <v>4.13</v>
      </c>
      <c r="T42" s="39">
        <f>IF(ISBLANK($A42),#REF!,VLOOKUP($A42,Radionuclide_specific,12,FALSE))</f>
        <v>1.98E-3</v>
      </c>
    </row>
    <row r="43" spans="1:20">
      <c r="A43" t="s">
        <v>18</v>
      </c>
      <c r="C43" s="67">
        <f t="shared" si="16"/>
        <v>1.7241379310344827E-2</v>
      </c>
      <c r="D43" s="67">
        <f t="shared" si="17"/>
        <v>8.2644628099173556E-6</v>
      </c>
      <c r="E43" s="39">
        <f t="shared" si="6"/>
        <v>5.1724137931034484E-4</v>
      </c>
      <c r="F43" s="39">
        <f t="shared" si="7"/>
        <v>2.4793388429752067E-7</v>
      </c>
      <c r="G43" s="39">
        <f t="shared" si="8"/>
        <v>1.9786910197869101E-5</v>
      </c>
      <c r="H43" s="39">
        <f t="shared" si="9"/>
        <v>1.9786910197869099E-7</v>
      </c>
      <c r="I43" s="39">
        <f t="shared" si="10"/>
        <v>2.0928462709284628E-4</v>
      </c>
      <c r="J43" s="39">
        <f t="shared" si="11"/>
        <v>2.0928462709284625E-6</v>
      </c>
      <c r="S43" s="39">
        <f t="shared" si="18"/>
        <v>4.13</v>
      </c>
      <c r="T43" s="39">
        <f t="shared" si="19"/>
        <v>1.98E-3</v>
      </c>
    </row>
    <row r="44" spans="1:20">
      <c r="A44" t="s">
        <v>9</v>
      </c>
      <c r="C44" s="67">
        <f t="shared" si="16"/>
        <v>2.9411764705882353E-2</v>
      </c>
      <c r="D44" s="67">
        <f t="shared" si="17"/>
        <v>1.6393442622950821E-5</v>
      </c>
      <c r="E44" s="39">
        <f t="shared" si="6"/>
        <v>7.0588235294117641E-3</v>
      </c>
      <c r="F44" s="39">
        <f t="shared" si="7"/>
        <v>3.934426229508197E-6</v>
      </c>
      <c r="G44" s="39">
        <f t="shared" si="8"/>
        <v>2.8158295281582955E-5</v>
      </c>
      <c r="H44" s="39">
        <f t="shared" si="9"/>
        <v>2.8158295281582944E-7</v>
      </c>
      <c r="I44" s="39">
        <f t="shared" si="10"/>
        <v>2.1689497716894979E-4</v>
      </c>
      <c r="J44" s="39">
        <f t="shared" si="11"/>
        <v>2.1689497716894974E-6</v>
      </c>
      <c r="S44" s="39">
        <f t="shared" si="18"/>
        <v>3.52</v>
      </c>
      <c r="T44" s="39">
        <f t="shared" si="19"/>
        <v>1.9599999999999999E-3</v>
      </c>
    </row>
    <row r="46" spans="1:20" s="112" customFormat="1" ht="12.75">
      <c r="A46" s="37" t="s">
        <v>253</v>
      </c>
      <c r="B46" s="37"/>
      <c r="C46" s="37"/>
      <c r="D46" s="37"/>
      <c r="E46" s="37"/>
      <c r="F46" s="37"/>
      <c r="G46" s="37"/>
      <c r="H46" s="37"/>
    </row>
    <row r="47" spans="1:20" s="76" customFormat="1">
      <c r="A47" s="75" t="s">
        <v>161</v>
      </c>
      <c r="C47" s="130" t="s">
        <v>169</v>
      </c>
      <c r="D47" s="130"/>
      <c r="E47" s="130" t="s">
        <v>170</v>
      </c>
      <c r="F47" s="130"/>
      <c r="G47" s="130" t="s">
        <v>171</v>
      </c>
      <c r="H47" s="130"/>
    </row>
    <row r="48" spans="1:20" s="76" customFormat="1">
      <c r="C48" s="76" t="s">
        <v>73</v>
      </c>
      <c r="D48" s="76" t="s">
        <v>74</v>
      </c>
      <c r="E48" s="76" t="s">
        <v>73</v>
      </c>
      <c r="F48" s="76" t="s">
        <v>74</v>
      </c>
      <c r="G48" s="76" t="s">
        <v>73</v>
      </c>
      <c r="H48" s="76" t="s">
        <v>74</v>
      </c>
    </row>
    <row r="49" spans="1:8">
      <c r="A49" s="43" t="s">
        <v>56</v>
      </c>
      <c r="C49" s="74">
        <f t="shared" ref="C49:C55" si="20">Other_Fr_small*VLOOKUP($A49,Other_regional_data,6,FALSE)</f>
        <v>0.27123226588196486</v>
      </c>
      <c r="D49" s="74">
        <f t="shared" ref="D49:D55" si="21">Other_Fr_large*VLOOKUP($A49,Other_regional_data,6,FALSE)</f>
        <v>27.123226588196484</v>
      </c>
      <c r="E49" s="74">
        <f t="shared" ref="E49:F54" si="22">Other_sec_day*365*C49*VLOOKUP($A49,Other_regional_data,7,FALSE)</f>
        <v>5145758.4413179262</v>
      </c>
      <c r="F49" s="74">
        <f t="shared" si="22"/>
        <v>514575844.1317926</v>
      </c>
      <c r="G49" s="74">
        <f t="shared" ref="G49:G54" si="23">Interim_Cuw_small*C49/E49</f>
        <v>5.270987143588053E-9</v>
      </c>
      <c r="H49" s="74">
        <f t="shared" ref="H49:H54" si="24">Interim_Cuw_large*D49/F49</f>
        <v>5.2709871435880524E-11</v>
      </c>
    </row>
    <row r="50" spans="1:8">
      <c r="A50" s="43" t="s">
        <v>62</v>
      </c>
      <c r="C50" s="74">
        <f t="shared" si="20"/>
        <v>0.93897875208595594</v>
      </c>
      <c r="D50" s="74">
        <f t="shared" si="21"/>
        <v>93.897875208595593</v>
      </c>
      <c r="E50" s="74">
        <f t="shared" si="22"/>
        <v>23506784.327902131</v>
      </c>
      <c r="F50" s="74">
        <f t="shared" si="22"/>
        <v>2350678432.7902131</v>
      </c>
      <c r="G50" s="74">
        <f t="shared" si="23"/>
        <v>3.9945010724899756E-9</v>
      </c>
      <c r="H50" s="74">
        <f t="shared" si="24"/>
        <v>3.9945010724899746E-11</v>
      </c>
    </row>
    <row r="51" spans="1:8">
      <c r="A51" s="43" t="s">
        <v>57</v>
      </c>
      <c r="C51" s="74">
        <f t="shared" si="20"/>
        <v>0.1216227845135433</v>
      </c>
      <c r="D51" s="74">
        <f t="shared" si="21"/>
        <v>12.16227845135433</v>
      </c>
      <c r="E51" s="74">
        <f t="shared" si="22"/>
        <v>7443750.0631957063</v>
      </c>
      <c r="F51" s="74">
        <f t="shared" si="22"/>
        <v>744375006.31957066</v>
      </c>
      <c r="G51" s="74">
        <f t="shared" si="23"/>
        <v>1.6338912978135237E-9</v>
      </c>
      <c r="H51" s="74">
        <f t="shared" si="24"/>
        <v>1.6338912978135236E-11</v>
      </c>
    </row>
    <row r="52" spans="1:8">
      <c r="A52" s="43" t="s">
        <v>63</v>
      </c>
      <c r="C52" s="74">
        <f t="shared" si="20"/>
        <v>0.10018753946065161</v>
      </c>
      <c r="D52" s="74">
        <f t="shared" si="21"/>
        <v>10.018753946065161</v>
      </c>
      <c r="E52" s="74">
        <f t="shared" si="22"/>
        <v>2605658.9599877428</v>
      </c>
      <c r="F52" s="74">
        <f t="shared" si="22"/>
        <v>260565895.99877426</v>
      </c>
      <c r="G52" s="74">
        <f t="shared" si="23"/>
        <v>3.8449981750920657E-9</v>
      </c>
      <c r="H52" s="74">
        <f t="shared" si="24"/>
        <v>3.8449981750920656E-11</v>
      </c>
    </row>
    <row r="53" spans="1:8">
      <c r="A53" s="43" t="s">
        <v>58</v>
      </c>
      <c r="C53" s="74">
        <f t="shared" si="20"/>
        <v>0.23876609903501123</v>
      </c>
      <c r="D53" s="74">
        <f t="shared" si="21"/>
        <v>23.876609903501119</v>
      </c>
      <c r="E53" s="74">
        <f t="shared" si="22"/>
        <v>9616250.4223252535</v>
      </c>
      <c r="F53" s="74">
        <f t="shared" si="22"/>
        <v>961625042.23252535</v>
      </c>
      <c r="G53" s="74">
        <f t="shared" si="23"/>
        <v>2.4829438559616517E-9</v>
      </c>
      <c r="H53" s="74">
        <f t="shared" si="24"/>
        <v>2.4829438559616511E-11</v>
      </c>
    </row>
    <row r="54" spans="1:8" s="91" customFormat="1">
      <c r="A54" s="43" t="s">
        <v>59</v>
      </c>
      <c r="C54" s="93">
        <f t="shared" si="20"/>
        <v>5.6512113518655616</v>
      </c>
      <c r="D54" s="93">
        <f t="shared" si="21"/>
        <v>565.1211351865561</v>
      </c>
      <c r="E54" s="93">
        <f t="shared" si="22"/>
        <v>83539222.185386896</v>
      </c>
      <c r="F54" s="93">
        <f t="shared" si="22"/>
        <v>8353922218.5386887</v>
      </c>
      <c r="G54" s="93">
        <f t="shared" si="23"/>
        <v>6.7647402070905323E-9</v>
      </c>
      <c r="H54" s="93">
        <f t="shared" si="24"/>
        <v>6.7647402070905334E-11</v>
      </c>
    </row>
    <row r="55" spans="1:8">
      <c r="A55" s="43" t="s">
        <v>252</v>
      </c>
      <c r="C55" s="74">
        <f t="shared" si="20"/>
        <v>0.38902698754979426</v>
      </c>
      <c r="D55" s="74">
        <f t="shared" si="21"/>
        <v>38.902698754979426</v>
      </c>
      <c r="E55" s="74">
        <f t="shared" ref="E55" si="25">Other_sec_day*365*C55*VLOOKUP($A55,Other_regional_data,7,FALSE)</f>
        <v>10460457.146750759</v>
      </c>
      <c r="F55" s="74">
        <f t="shared" ref="F55" si="26">Other_sec_day*365*D55*VLOOKUP($A55,Other_regional_data,7,FALSE)</f>
        <v>1046045714.675076</v>
      </c>
      <c r="G55" s="74">
        <f t="shared" ref="G55" si="27">Interim_Cuw_small*C55/E55</f>
        <v>3.7190247241788501E-9</v>
      </c>
      <c r="H55" s="74">
        <f t="shared" ref="H55" si="28">Interim_Cuw_large*D55/F55</f>
        <v>3.7190247241788502E-11</v>
      </c>
    </row>
    <row r="57" spans="1:8" s="113" customFormat="1" ht="12.75">
      <c r="A57" s="44" t="s">
        <v>297</v>
      </c>
      <c r="B57" s="44" t="s">
        <v>56</v>
      </c>
      <c r="C57" s="44"/>
      <c r="D57" s="44"/>
    </row>
    <row r="58" spans="1:8" ht="22.5" customHeight="1">
      <c r="A58" s="26" t="s">
        <v>149</v>
      </c>
      <c r="B58" s="26" t="s">
        <v>150</v>
      </c>
      <c r="C58" s="130" t="s">
        <v>172</v>
      </c>
      <c r="D58" s="130"/>
    </row>
    <row r="59" spans="1:8">
      <c r="A59" s="26"/>
      <c r="B59" s="26"/>
      <c r="C59" s="76" t="s">
        <v>73</v>
      </c>
      <c r="D59" s="76" t="s">
        <v>74</v>
      </c>
    </row>
    <row r="60" spans="1:8">
      <c r="A60" s="4" t="s">
        <v>33</v>
      </c>
      <c r="B60" s="4"/>
      <c r="C60" s="39">
        <f>G12</f>
        <v>5.8672533920058674E-6</v>
      </c>
      <c r="D60" s="39">
        <f>H12</f>
        <v>5.8672533920058667E-8</v>
      </c>
    </row>
    <row r="61" spans="1:8">
      <c r="A61" s="4"/>
      <c r="B61" s="4" t="s">
        <v>43</v>
      </c>
      <c r="C61" s="39">
        <f>G13</f>
        <v>1.3011221122112216E-5</v>
      </c>
      <c r="D61" s="39">
        <f>H13</f>
        <v>1.3011221122112215E-7</v>
      </c>
    </row>
    <row r="62" spans="1:8">
      <c r="A62" s="4" t="s">
        <v>10</v>
      </c>
      <c r="B62" s="4"/>
      <c r="C62" s="39">
        <f>Other_CDc_cereal*Interim_Cuw_small*Other_Sp_cereal/(365*VLOOKUP($B57,Other_regional_data,7,FALSE)*Other_Fc)</f>
        <v>4.0366177906896138E-2</v>
      </c>
      <c r="D62" s="39">
        <f>Other_CDc_cereal*Interim_Cuw_large*Other_Sp_cereal/(365*VLOOKUP($B57,Other_regional_data,7,FALSE)*Other_Fc)</f>
        <v>4.036617790689614E-4</v>
      </c>
    </row>
    <row r="63" spans="1:8">
      <c r="A63" s="4" t="s">
        <v>240</v>
      </c>
      <c r="B63" s="4"/>
      <c r="C63" s="39">
        <f t="shared" ref="C63:C92" si="29">VLOOKUP(IF(ISBLANK($A63),$B63,$A63),Radionuclide_specific,9,FALSE)*VLOOKUP($B$57,Interim_regional_data,7,FALSE)</f>
        <v>1.9660782045583438E-3</v>
      </c>
      <c r="D63" s="39">
        <f t="shared" ref="D63:D92" si="30">VLOOKUP(IF(ISBLANK($A63),$B63,$A63),Radionuclide_specific,9,FALSE)*VLOOKUP($B$57,Interim_regional_data,8,FALSE)</f>
        <v>1.9660782045583434E-5</v>
      </c>
    </row>
    <row r="64" spans="1:8">
      <c r="A64" s="4" t="s">
        <v>237</v>
      </c>
      <c r="B64" s="4"/>
      <c r="C64" s="39">
        <f t="shared" si="29"/>
        <v>4.5435909177729019E-4</v>
      </c>
      <c r="D64" s="39">
        <f t="shared" si="30"/>
        <v>4.5435909177729015E-6</v>
      </c>
    </row>
    <row r="65" spans="1:4">
      <c r="A65" s="4" t="s">
        <v>236</v>
      </c>
      <c r="B65" s="4"/>
      <c r="C65" s="39">
        <f t="shared" si="29"/>
        <v>2.8041651603888444E-4</v>
      </c>
      <c r="D65" s="39">
        <f t="shared" si="30"/>
        <v>2.804165160388844E-6</v>
      </c>
    </row>
    <row r="66" spans="1:4">
      <c r="A66" s="4" t="s">
        <v>11</v>
      </c>
      <c r="B66" s="4"/>
      <c r="C66" s="39">
        <f t="shared" si="29"/>
        <v>5.587246372203336E-4</v>
      </c>
      <c r="D66" s="39">
        <f t="shared" si="30"/>
        <v>5.5872463722033359E-6</v>
      </c>
    </row>
    <row r="67" spans="1:4">
      <c r="A67" s="4" t="s">
        <v>178</v>
      </c>
      <c r="B67" s="4"/>
      <c r="C67" s="39">
        <f t="shared" si="29"/>
        <v>9.540486729894376E-4</v>
      </c>
      <c r="D67" s="39">
        <f t="shared" si="30"/>
        <v>9.5404867298943753E-6</v>
      </c>
    </row>
    <row r="68" spans="1:4">
      <c r="A68" s="4" t="s">
        <v>17</v>
      </c>
      <c r="B68" s="4"/>
      <c r="C68" s="39">
        <f t="shared" si="29"/>
        <v>3.7371298848039294E-3</v>
      </c>
      <c r="D68" s="39">
        <f t="shared" si="30"/>
        <v>3.737129884803929E-5</v>
      </c>
    </row>
    <row r="69" spans="1:4">
      <c r="A69" s="4"/>
      <c r="B69" s="4" t="s">
        <v>105</v>
      </c>
      <c r="C69" s="39">
        <f t="shared" si="29"/>
        <v>0</v>
      </c>
      <c r="D69" s="39">
        <f t="shared" si="30"/>
        <v>0</v>
      </c>
    </row>
    <row r="70" spans="1:4">
      <c r="A70" s="4" t="s">
        <v>66</v>
      </c>
      <c r="B70" s="4"/>
      <c r="C70" s="39">
        <f t="shared" si="29"/>
        <v>5.155025426429116E-5</v>
      </c>
      <c r="D70" s="39">
        <f t="shared" si="30"/>
        <v>5.1550254264291155E-7</v>
      </c>
    </row>
    <row r="71" spans="1:4">
      <c r="A71" s="4"/>
      <c r="B71" s="4" t="s">
        <v>106</v>
      </c>
      <c r="C71" s="39">
        <f t="shared" si="29"/>
        <v>0</v>
      </c>
      <c r="D71" s="39">
        <f t="shared" si="30"/>
        <v>0</v>
      </c>
    </row>
    <row r="72" spans="1:4">
      <c r="A72" s="4" t="s">
        <v>67</v>
      </c>
      <c r="B72" s="4"/>
      <c r="C72" s="39">
        <f t="shared" si="29"/>
        <v>3.178405247583596E-3</v>
      </c>
      <c r="D72" s="39">
        <f t="shared" si="30"/>
        <v>3.1784052475835959E-5</v>
      </c>
    </row>
    <row r="73" spans="1:4">
      <c r="A73" s="4" t="s">
        <v>239</v>
      </c>
      <c r="B73" s="4"/>
      <c r="C73" s="39">
        <f t="shared" si="29"/>
        <v>2.2243565745941584E-4</v>
      </c>
      <c r="D73" s="39">
        <f t="shared" si="30"/>
        <v>2.2243565745941581E-6</v>
      </c>
    </row>
    <row r="74" spans="1:4">
      <c r="A74" s="4" t="s">
        <v>177</v>
      </c>
      <c r="B74" s="4"/>
      <c r="C74" s="39">
        <f t="shared" si="29"/>
        <v>2.5880546875017342E-3</v>
      </c>
      <c r="D74" s="39">
        <f t="shared" si="30"/>
        <v>2.5880546875017337E-5</v>
      </c>
    </row>
    <row r="75" spans="1:4">
      <c r="A75" s="4" t="s">
        <v>12</v>
      </c>
      <c r="B75" s="4"/>
      <c r="C75" s="39">
        <f t="shared" si="29"/>
        <v>3.1046114275733632E-3</v>
      </c>
      <c r="D75" s="39">
        <f t="shared" si="30"/>
        <v>3.1046114275733631E-5</v>
      </c>
    </row>
    <row r="76" spans="1:4">
      <c r="A76" s="4"/>
      <c r="B76" s="4" t="s">
        <v>107</v>
      </c>
      <c r="C76" s="39">
        <f t="shared" si="29"/>
        <v>3.5842712576398762E-9</v>
      </c>
      <c r="D76" s="39">
        <f t="shared" si="30"/>
        <v>3.5842712576398758E-11</v>
      </c>
    </row>
    <row r="77" spans="1:4">
      <c r="A77" s="4" t="s">
        <v>22</v>
      </c>
      <c r="B77" s="4"/>
      <c r="C77" s="39">
        <f t="shared" si="29"/>
        <v>2.1663757160146898E-4</v>
      </c>
      <c r="D77" s="39">
        <f t="shared" si="30"/>
        <v>2.1663757160146894E-6</v>
      </c>
    </row>
    <row r="78" spans="1:4">
      <c r="A78" s="4" t="s">
        <v>19</v>
      </c>
      <c r="B78" s="4"/>
      <c r="C78" s="39">
        <f t="shared" si="29"/>
        <v>2.603867648932498E-5</v>
      </c>
      <c r="D78" s="39">
        <f t="shared" si="30"/>
        <v>2.603867648932498E-7</v>
      </c>
    </row>
    <row r="79" spans="1:4">
      <c r="A79" s="4" t="s">
        <v>14</v>
      </c>
      <c r="B79" s="4"/>
      <c r="C79" s="39">
        <f t="shared" si="29"/>
        <v>1.386269618763658E-3</v>
      </c>
      <c r="D79" s="39">
        <f t="shared" si="30"/>
        <v>1.3862696187636578E-5</v>
      </c>
    </row>
    <row r="80" spans="1:4">
      <c r="A80" s="4" t="s">
        <v>156</v>
      </c>
      <c r="B80" s="4"/>
      <c r="C80" s="39">
        <f t="shared" si="29"/>
        <v>4.1798928048653261E-5</v>
      </c>
      <c r="D80" s="39">
        <f t="shared" si="30"/>
        <v>4.1798928048653258E-7</v>
      </c>
    </row>
    <row r="81" spans="1:4">
      <c r="A81" s="4" t="s">
        <v>20</v>
      </c>
      <c r="B81" s="4"/>
      <c r="C81" s="39">
        <f t="shared" si="29"/>
        <v>4.1798928048653261E-5</v>
      </c>
      <c r="D81" s="39">
        <f t="shared" si="30"/>
        <v>4.1798928048653258E-7</v>
      </c>
    </row>
    <row r="82" spans="1:4">
      <c r="A82" s="4"/>
      <c r="B82" s="4" t="s">
        <v>29</v>
      </c>
      <c r="C82" s="39">
        <f t="shared" si="29"/>
        <v>4.6173847377831346E-4</v>
      </c>
      <c r="D82" s="39">
        <f t="shared" si="30"/>
        <v>4.6173847377831337E-6</v>
      </c>
    </row>
    <row r="83" spans="1:4">
      <c r="A83" s="4"/>
      <c r="B83" s="4" t="s">
        <v>108</v>
      </c>
      <c r="C83" s="39">
        <f t="shared" si="29"/>
        <v>0</v>
      </c>
      <c r="D83" s="39">
        <f t="shared" si="30"/>
        <v>0</v>
      </c>
    </row>
    <row r="84" spans="1:4">
      <c r="A84" s="4"/>
      <c r="B84" s="4" t="s">
        <v>109</v>
      </c>
      <c r="C84" s="39">
        <f t="shared" si="29"/>
        <v>2.8252491089631962E-5</v>
      </c>
      <c r="D84" s="39">
        <f t="shared" si="30"/>
        <v>2.8252491089631961E-7</v>
      </c>
    </row>
    <row r="85" spans="1:4">
      <c r="A85" s="4"/>
      <c r="B85" s="4" t="s">
        <v>110</v>
      </c>
      <c r="C85" s="39">
        <f t="shared" si="29"/>
        <v>8.5917090440485261E-7</v>
      </c>
      <c r="D85" s="39">
        <f t="shared" si="30"/>
        <v>8.5917090440485257E-9</v>
      </c>
    </row>
    <row r="86" spans="1:4">
      <c r="A86" s="4" t="s">
        <v>111</v>
      </c>
      <c r="B86" s="4"/>
      <c r="C86" s="39">
        <f t="shared" si="29"/>
        <v>2.9306688518349576E-4</v>
      </c>
      <c r="D86" s="39">
        <f t="shared" si="30"/>
        <v>2.9306688518349572E-6</v>
      </c>
    </row>
    <row r="87" spans="1:4">
      <c r="A87" s="4" t="s">
        <v>30</v>
      </c>
      <c r="B87" s="4"/>
      <c r="C87" s="39">
        <f t="shared" si="29"/>
        <v>2.9306688518349576E-4</v>
      </c>
      <c r="D87" s="39">
        <f t="shared" si="30"/>
        <v>2.9306688518349572E-6</v>
      </c>
    </row>
    <row r="88" spans="1:4">
      <c r="A88" s="4"/>
      <c r="B88" s="4" t="s">
        <v>31</v>
      </c>
      <c r="C88" s="39">
        <f t="shared" si="29"/>
        <v>1.7763226673891739E-5</v>
      </c>
      <c r="D88" s="39">
        <f t="shared" si="30"/>
        <v>1.7763226673891737E-7</v>
      </c>
    </row>
    <row r="89" spans="1:4">
      <c r="A89" s="4"/>
      <c r="B89" s="4" t="s">
        <v>32</v>
      </c>
      <c r="C89" s="39">
        <f t="shared" si="29"/>
        <v>0</v>
      </c>
      <c r="D89" s="39">
        <f t="shared" si="30"/>
        <v>0</v>
      </c>
    </row>
    <row r="90" spans="1:4">
      <c r="A90" s="4" t="s">
        <v>13</v>
      </c>
      <c r="C90" s="39">
        <f t="shared" si="29"/>
        <v>5.481826629331575E-5</v>
      </c>
      <c r="D90" s="39">
        <f t="shared" si="30"/>
        <v>5.4818266293315745E-7</v>
      </c>
    </row>
    <row r="91" spans="1:4" s="91" customFormat="1">
      <c r="A91" s="91" t="s">
        <v>18</v>
      </c>
      <c r="C91" s="92">
        <f t="shared" si="29"/>
        <v>5.481826629331575E-5</v>
      </c>
      <c r="D91" s="92">
        <f t="shared" si="30"/>
        <v>5.4818266293315745E-7</v>
      </c>
    </row>
    <row r="92" spans="1:4" s="91" customFormat="1">
      <c r="A92" s="91" t="s">
        <v>9</v>
      </c>
      <c r="C92" s="92">
        <f t="shared" si="29"/>
        <v>7.8010609725103177E-5</v>
      </c>
      <c r="D92" s="92">
        <f t="shared" si="30"/>
        <v>7.8010609725103181E-7</v>
      </c>
    </row>
    <row r="94" spans="1:4" s="113" customFormat="1" ht="12.75">
      <c r="A94" s="44" t="s">
        <v>297</v>
      </c>
      <c r="B94" s="44" t="s">
        <v>62</v>
      </c>
      <c r="C94" s="44"/>
      <c r="D94" s="44"/>
    </row>
    <row r="95" spans="1:4">
      <c r="A95" s="129" t="s">
        <v>149</v>
      </c>
      <c r="B95" s="129" t="s">
        <v>150</v>
      </c>
      <c r="C95" s="130" t="s">
        <v>172</v>
      </c>
      <c r="D95" s="130"/>
    </row>
    <row r="96" spans="1:4">
      <c r="A96" s="129"/>
      <c r="B96" s="129"/>
      <c r="C96" s="76" t="s">
        <v>73</v>
      </c>
      <c r="D96" s="76" t="s">
        <v>74</v>
      </c>
    </row>
    <row r="97" spans="1:4">
      <c r="A97" s="4" t="s">
        <v>33</v>
      </c>
      <c r="B97" s="4"/>
      <c r="C97" s="39">
        <f>C60</f>
        <v>5.8672533920058674E-6</v>
      </c>
      <c r="D97" s="39">
        <f>D60</f>
        <v>5.8672533920058667E-8</v>
      </c>
    </row>
    <row r="98" spans="1:4">
      <c r="A98" s="4"/>
      <c r="B98" s="4" t="s">
        <v>43</v>
      </c>
      <c r="C98" s="39">
        <f>C61</f>
        <v>1.3011221122112216E-5</v>
      </c>
      <c r="D98" s="39">
        <f>D61</f>
        <v>1.3011221122112215E-7</v>
      </c>
    </row>
    <row r="99" spans="1:4">
      <c r="A99" s="4" t="s">
        <v>10</v>
      </c>
      <c r="B99" s="4"/>
      <c r="C99" s="39">
        <f>Other_CDc_cereal*Interim_Cuw_small*Other_Sp_cereal/(365*VLOOKUP($B94,Other_regional_data,7,FALSE)*Other_Fc)</f>
        <v>3.0590615486050497E-2</v>
      </c>
      <c r="D99" s="39">
        <f>Other_CDc_cereal*Interim_Cuw_large*Other_Sp_cereal/(365*VLOOKUP($B94,Other_regional_data,7,FALSE)*Other_Fc)</f>
        <v>3.05906154860505E-4</v>
      </c>
    </row>
    <row r="100" spans="1:4">
      <c r="A100" s="4" t="s">
        <v>240</v>
      </c>
      <c r="B100" s="4"/>
      <c r="C100" s="39">
        <f t="shared" ref="C100:C129" si="31">VLOOKUP(IF(ISBLANK($A100),$B100,$A100),Radionuclide_specific,9,FALSE)*VLOOKUP($B$94,Interim_regional_data,7,FALSE)</f>
        <v>1.4899489000387608E-3</v>
      </c>
      <c r="D100" s="39">
        <f t="shared" ref="D100:D129" si="32">VLOOKUP(IF(ISBLANK($A100),$B100,$A100),Radionuclide_specific,9,FALSE)*VLOOKUP($B$94,Interim_regional_data,8,FALSE)</f>
        <v>1.4899489000387606E-5</v>
      </c>
    </row>
    <row r="101" spans="1:4">
      <c r="A101" s="4" t="s">
        <v>237</v>
      </c>
      <c r="B101" s="4"/>
      <c r="C101" s="39">
        <f t="shared" si="31"/>
        <v>3.4432599244863589E-4</v>
      </c>
      <c r="D101" s="39">
        <f t="shared" si="32"/>
        <v>3.4432599244863583E-6</v>
      </c>
    </row>
    <row r="102" spans="1:4">
      <c r="A102" s="4" t="s">
        <v>236</v>
      </c>
      <c r="B102" s="4"/>
      <c r="C102" s="39">
        <f t="shared" si="31"/>
        <v>2.1250745705646669E-4</v>
      </c>
      <c r="D102" s="39">
        <f t="shared" si="32"/>
        <v>2.1250745705646665E-6</v>
      </c>
    </row>
    <row r="103" spans="1:4">
      <c r="A103" s="4" t="s">
        <v>11</v>
      </c>
      <c r="B103" s="4"/>
      <c r="C103" s="39">
        <f t="shared" si="31"/>
        <v>4.2341711368393741E-4</v>
      </c>
      <c r="D103" s="39">
        <f t="shared" si="32"/>
        <v>4.2341711368393728E-6</v>
      </c>
    </row>
    <row r="104" spans="1:4">
      <c r="A104" s="4" t="s">
        <v>178</v>
      </c>
      <c r="B104" s="4"/>
      <c r="C104" s="39">
        <f t="shared" si="31"/>
        <v>7.2300469412068559E-4</v>
      </c>
      <c r="D104" s="39">
        <f t="shared" si="32"/>
        <v>7.2300469412068541E-6</v>
      </c>
    </row>
    <row r="105" spans="1:4">
      <c r="A105" s="4" t="s">
        <v>17</v>
      </c>
      <c r="B105" s="4"/>
      <c r="C105" s="39">
        <f t="shared" si="31"/>
        <v>2.8321012603953928E-3</v>
      </c>
      <c r="D105" s="39">
        <f t="shared" si="32"/>
        <v>2.8321012603953921E-5</v>
      </c>
    </row>
    <row r="106" spans="1:4">
      <c r="A106" s="4"/>
      <c r="B106" s="4" t="s">
        <v>105</v>
      </c>
      <c r="C106" s="39">
        <f t="shared" si="31"/>
        <v>0</v>
      </c>
      <c r="D106" s="39">
        <f t="shared" si="32"/>
        <v>0</v>
      </c>
    </row>
    <row r="107" spans="1:4">
      <c r="A107" s="4" t="s">
        <v>66</v>
      </c>
      <c r="B107" s="4"/>
      <c r="C107" s="39">
        <f t="shared" si="31"/>
        <v>3.9066220488951961E-5</v>
      </c>
      <c r="D107" s="39">
        <f t="shared" si="32"/>
        <v>3.9066220488951952E-7</v>
      </c>
    </row>
    <row r="108" spans="1:4">
      <c r="A108" s="4"/>
      <c r="B108" s="4" t="s">
        <v>106</v>
      </c>
      <c r="C108" s="39">
        <f t="shared" si="31"/>
        <v>0</v>
      </c>
      <c r="D108" s="39">
        <f t="shared" si="32"/>
        <v>0</v>
      </c>
    </row>
    <row r="109" spans="1:4">
      <c r="A109" s="4" t="s">
        <v>67</v>
      </c>
      <c r="B109" s="4"/>
      <c r="C109" s="39">
        <f t="shared" si="31"/>
        <v>2.4086841467114554E-3</v>
      </c>
      <c r="D109" s="39">
        <f t="shared" si="32"/>
        <v>2.4086841467114547E-5</v>
      </c>
    </row>
    <row r="110" spans="1:4">
      <c r="A110" s="4" t="s">
        <v>239</v>
      </c>
      <c r="B110" s="4"/>
      <c r="C110" s="39">
        <f t="shared" si="31"/>
        <v>1.6856794525907696E-4</v>
      </c>
      <c r="D110" s="39">
        <f t="shared" si="32"/>
        <v>1.6856794525907693E-6</v>
      </c>
    </row>
    <row r="111" spans="1:4">
      <c r="A111" s="4" t="s">
        <v>177</v>
      </c>
      <c r="B111" s="4"/>
      <c r="C111" s="39">
        <f t="shared" si="31"/>
        <v>1.961300026592578E-3</v>
      </c>
      <c r="D111" s="39">
        <f t="shared" si="32"/>
        <v>1.9613000265925774E-5</v>
      </c>
    </row>
    <row r="112" spans="1:4">
      <c r="A112" s="4" t="s">
        <v>12</v>
      </c>
      <c r="B112" s="4"/>
      <c r="C112" s="39">
        <f t="shared" si="31"/>
        <v>2.3527611316965956E-3</v>
      </c>
      <c r="D112" s="39">
        <f t="shared" si="32"/>
        <v>2.3527611316965951E-5</v>
      </c>
    </row>
    <row r="113" spans="1:4">
      <c r="A113" s="4"/>
      <c r="B113" s="4" t="s">
        <v>107</v>
      </c>
      <c r="C113" s="39">
        <f t="shared" si="31"/>
        <v>2.7162607292931837E-9</v>
      </c>
      <c r="D113" s="39">
        <f t="shared" si="32"/>
        <v>2.7162607292931828E-11</v>
      </c>
    </row>
    <row r="114" spans="1:4">
      <c r="A114" s="4" t="s">
        <v>22</v>
      </c>
      <c r="B114" s="4"/>
      <c r="C114" s="39">
        <f t="shared" si="31"/>
        <v>1.6417399407933799E-4</v>
      </c>
      <c r="D114" s="39">
        <f t="shared" si="32"/>
        <v>1.6417399407933795E-6</v>
      </c>
    </row>
    <row r="115" spans="1:4">
      <c r="A115" s="4" t="s">
        <v>19</v>
      </c>
      <c r="B115" s="4"/>
      <c r="C115" s="39">
        <f t="shared" si="31"/>
        <v>1.973283529810048E-5</v>
      </c>
      <c r="D115" s="39">
        <f t="shared" si="32"/>
        <v>1.9732835298100475E-7</v>
      </c>
    </row>
    <row r="116" spans="1:4">
      <c r="A116" s="4" t="s">
        <v>14</v>
      </c>
      <c r="B116" s="4"/>
      <c r="C116" s="39">
        <f t="shared" si="31"/>
        <v>1.0505537820648637E-3</v>
      </c>
      <c r="D116" s="39">
        <f t="shared" si="32"/>
        <v>1.0505537820648632E-5</v>
      </c>
    </row>
    <row r="117" spans="1:4">
      <c r="A117" s="4" t="s">
        <v>156</v>
      </c>
      <c r="B117" s="4"/>
      <c r="C117" s="39">
        <f t="shared" si="31"/>
        <v>3.1676393504845509E-5</v>
      </c>
      <c r="D117" s="39">
        <f t="shared" si="32"/>
        <v>3.1676393504845496E-7</v>
      </c>
    </row>
    <row r="118" spans="1:4">
      <c r="A118" s="4" t="s">
        <v>20</v>
      </c>
      <c r="B118" s="4"/>
      <c r="C118" s="39">
        <f t="shared" si="31"/>
        <v>3.1676393504845509E-5</v>
      </c>
      <c r="D118" s="39">
        <f t="shared" si="32"/>
        <v>3.1676393504845496E-7</v>
      </c>
    </row>
    <row r="119" spans="1:4">
      <c r="A119" s="4"/>
      <c r="B119" s="4" t="s">
        <v>29</v>
      </c>
      <c r="C119" s="39">
        <f t="shared" si="31"/>
        <v>3.4991829395012185E-4</v>
      </c>
      <c r="D119" s="39">
        <f t="shared" si="32"/>
        <v>3.4991829395012177E-6</v>
      </c>
    </row>
    <row r="120" spans="1:4">
      <c r="A120" s="4"/>
      <c r="B120" s="4" t="s">
        <v>108</v>
      </c>
      <c r="C120" s="39">
        <f t="shared" si="31"/>
        <v>0</v>
      </c>
      <c r="D120" s="39">
        <f t="shared" si="32"/>
        <v>0</v>
      </c>
    </row>
    <row r="121" spans="1:4">
      <c r="A121" s="4"/>
      <c r="B121" s="4" t="s">
        <v>109</v>
      </c>
      <c r="C121" s="39">
        <f t="shared" si="31"/>
        <v>2.1410525748546268E-5</v>
      </c>
      <c r="D121" s="39">
        <f t="shared" si="32"/>
        <v>2.1410525748546264E-7</v>
      </c>
    </row>
    <row r="122" spans="1:4">
      <c r="A122" s="4"/>
      <c r="B122" s="4" t="s">
        <v>110</v>
      </c>
      <c r="C122" s="39">
        <f t="shared" si="31"/>
        <v>6.5110367481586604E-7</v>
      </c>
      <c r="D122" s="39">
        <f t="shared" si="32"/>
        <v>6.5110367481586584E-9</v>
      </c>
    </row>
    <row r="123" spans="1:4">
      <c r="A123" s="4" t="s">
        <v>111</v>
      </c>
      <c r="B123" s="4"/>
      <c r="C123" s="39">
        <f t="shared" si="31"/>
        <v>2.2209425963044265E-4</v>
      </c>
      <c r="D123" s="39">
        <f t="shared" si="32"/>
        <v>2.2209425963044259E-6</v>
      </c>
    </row>
    <row r="124" spans="1:4">
      <c r="A124" s="4" t="s">
        <v>30</v>
      </c>
      <c r="B124" s="4"/>
      <c r="C124" s="39">
        <f t="shared" si="31"/>
        <v>2.2209425963044265E-4</v>
      </c>
      <c r="D124" s="39">
        <f t="shared" si="32"/>
        <v>2.2209425963044259E-6</v>
      </c>
    </row>
    <row r="125" spans="1:4">
      <c r="A125" s="4"/>
      <c r="B125" s="4" t="s">
        <v>31</v>
      </c>
      <c r="C125" s="39">
        <f t="shared" si="31"/>
        <v>1.3461468614291218E-5</v>
      </c>
      <c r="D125" s="39">
        <f t="shared" si="32"/>
        <v>1.3461468614291216E-7</v>
      </c>
    </row>
    <row r="126" spans="1:4">
      <c r="A126" s="4"/>
      <c r="B126" s="4" t="s">
        <v>32</v>
      </c>
      <c r="C126" s="39">
        <f t="shared" si="31"/>
        <v>0</v>
      </c>
      <c r="D126" s="39">
        <f t="shared" si="32"/>
        <v>0</v>
      </c>
    </row>
    <row r="127" spans="1:4">
      <c r="A127" s="4" t="s">
        <v>13</v>
      </c>
      <c r="C127" s="39">
        <f t="shared" si="31"/>
        <v>4.1542811153895744E-5</v>
      </c>
      <c r="D127" s="39">
        <f t="shared" si="32"/>
        <v>4.1542811153895736E-7</v>
      </c>
    </row>
    <row r="128" spans="1:4" s="91" customFormat="1">
      <c r="A128" s="91" t="s">
        <v>18</v>
      </c>
      <c r="C128" s="92">
        <f t="shared" si="31"/>
        <v>4.1542811153895744E-5</v>
      </c>
      <c r="D128" s="92">
        <f t="shared" si="32"/>
        <v>4.1542811153895736E-7</v>
      </c>
    </row>
    <row r="129" spans="1:4" s="91" customFormat="1">
      <c r="A129" s="91" t="s">
        <v>9</v>
      </c>
      <c r="C129" s="92">
        <f t="shared" si="31"/>
        <v>5.9118615872851637E-5</v>
      </c>
      <c r="D129" s="92">
        <f t="shared" si="32"/>
        <v>5.9118615872851623E-7</v>
      </c>
    </row>
    <row r="131" spans="1:4" s="113" customFormat="1" ht="12.75">
      <c r="A131" s="44" t="s">
        <v>297</v>
      </c>
      <c r="B131" s="44" t="s">
        <v>57</v>
      </c>
      <c r="C131" s="44"/>
      <c r="D131" s="44"/>
    </row>
    <row r="132" spans="1:4">
      <c r="A132" s="129" t="s">
        <v>149</v>
      </c>
      <c r="B132" s="129" t="s">
        <v>150</v>
      </c>
      <c r="C132" s="130" t="s">
        <v>172</v>
      </c>
      <c r="D132" s="130"/>
    </row>
    <row r="133" spans="1:4">
      <c r="A133" s="129"/>
      <c r="B133" s="129"/>
      <c r="C133" s="76" t="s">
        <v>73</v>
      </c>
      <c r="D133" s="76" t="s">
        <v>74</v>
      </c>
    </row>
    <row r="134" spans="1:4">
      <c r="A134" s="4" t="s">
        <v>33</v>
      </c>
      <c r="B134" s="4"/>
      <c r="C134" s="39">
        <f>C97</f>
        <v>5.8672533920058674E-6</v>
      </c>
      <c r="D134" s="39">
        <f>D97</f>
        <v>5.8672533920058667E-8</v>
      </c>
    </row>
    <row r="135" spans="1:4">
      <c r="A135" s="4"/>
      <c r="B135" s="4" t="s">
        <v>43</v>
      </c>
      <c r="C135" s="39">
        <f>C98</f>
        <v>1.3011221122112216E-5</v>
      </c>
      <c r="D135" s="39">
        <f>D98</f>
        <v>1.3011221122112215E-7</v>
      </c>
    </row>
    <row r="136" spans="1:4">
      <c r="A136" s="4" t="s">
        <v>10</v>
      </c>
      <c r="B136" s="4"/>
      <c r="C136" s="39">
        <f>Other_CDc_cereal*Interim_Cuw_small*Other_Sp_cereal/(365*VLOOKUP($B131,Other_regional_data,7,FALSE)*Other_Fc)</f>
        <v>1.2512636629801019E-2</v>
      </c>
      <c r="D136" s="39">
        <f>Other_CDc_cereal*Interim_Cuw_large*Other_Sp_cereal/(365*VLOOKUP($B131,Other_regional_data,7,FALSE)*Other_Fc)</f>
        <v>1.2512636629801019E-4</v>
      </c>
    </row>
    <row r="137" spans="1:4">
      <c r="A137" s="4" t="s">
        <v>240</v>
      </c>
      <c r="B137" s="4"/>
      <c r="C137" s="39">
        <f t="shared" ref="C137:C166" si="33">VLOOKUP(IF(ISBLANK($A137),$B137,$A137),Radionuclide_specific,9,FALSE)*VLOOKUP($B$131,Interim_regional_data,7,FALSE)</f>
        <v>6.0944145408444437E-4</v>
      </c>
      <c r="D137" s="39">
        <f t="shared" ref="D137:D166" si="34">VLOOKUP(IF(ISBLANK($A137),$B137,$A137),Radionuclide_specific,9,FALSE)*VLOOKUP($B$131,Interim_regional_data,8,FALSE)</f>
        <v>6.094414540844443E-6</v>
      </c>
    </row>
    <row r="138" spans="1:4">
      <c r="A138" s="4" t="s">
        <v>237</v>
      </c>
      <c r="B138" s="4"/>
      <c r="C138" s="39">
        <f t="shared" si="33"/>
        <v>1.4084142987152575E-4</v>
      </c>
      <c r="D138" s="39">
        <f t="shared" si="34"/>
        <v>1.4084142987152574E-6</v>
      </c>
    </row>
    <row r="139" spans="1:4">
      <c r="A139" s="4" t="s">
        <v>236</v>
      </c>
      <c r="B139" s="4"/>
      <c r="C139" s="39">
        <f t="shared" si="33"/>
        <v>8.6923017043679464E-5</v>
      </c>
      <c r="D139" s="39">
        <f t="shared" si="34"/>
        <v>8.6923017043679461E-7</v>
      </c>
    </row>
    <row r="140" spans="1:4">
      <c r="A140" s="4" t="s">
        <v>11</v>
      </c>
      <c r="B140" s="4"/>
      <c r="C140" s="39">
        <f t="shared" si="33"/>
        <v>1.7319247756823351E-4</v>
      </c>
      <c r="D140" s="39">
        <f t="shared" si="34"/>
        <v>1.7319247756823351E-6</v>
      </c>
    </row>
    <row r="141" spans="1:4">
      <c r="A141" s="4" t="s">
        <v>178</v>
      </c>
      <c r="B141" s="4"/>
      <c r="C141" s="39">
        <f t="shared" si="33"/>
        <v>2.9573432490424779E-4</v>
      </c>
      <c r="D141" s="39">
        <f t="shared" si="34"/>
        <v>2.9573432490424776E-6</v>
      </c>
    </row>
    <row r="142" spans="1:4">
      <c r="A142" s="4" t="s">
        <v>17</v>
      </c>
      <c r="B142" s="4"/>
      <c r="C142" s="39">
        <f t="shared" si="33"/>
        <v>1.1584289301497883E-3</v>
      </c>
      <c r="D142" s="39">
        <f t="shared" si="34"/>
        <v>1.1584289301497883E-5</v>
      </c>
    </row>
    <row r="143" spans="1:4">
      <c r="A143" s="4"/>
      <c r="B143" s="4" t="s">
        <v>105</v>
      </c>
      <c r="C143" s="39">
        <f t="shared" si="33"/>
        <v>0</v>
      </c>
      <c r="D143" s="39">
        <f t="shared" si="34"/>
        <v>0</v>
      </c>
    </row>
    <row r="144" spans="1:4">
      <c r="A144" s="4" t="s">
        <v>66</v>
      </c>
      <c r="B144" s="4"/>
      <c r="C144" s="39">
        <f t="shared" si="33"/>
        <v>1.597945689261626E-5</v>
      </c>
      <c r="D144" s="39">
        <f t="shared" si="34"/>
        <v>1.5979456892616261E-7</v>
      </c>
    </row>
    <row r="145" spans="1:4">
      <c r="A145" s="4"/>
      <c r="B145" s="4" t="s">
        <v>106</v>
      </c>
      <c r="C145" s="39">
        <f t="shared" si="33"/>
        <v>0</v>
      </c>
      <c r="D145" s="39">
        <f t="shared" si="34"/>
        <v>0</v>
      </c>
    </row>
    <row r="146" spans="1:4">
      <c r="A146" s="4" t="s">
        <v>67</v>
      </c>
      <c r="B146" s="4"/>
      <c r="C146" s="39">
        <f t="shared" si="33"/>
        <v>9.8523645258155471E-4</v>
      </c>
      <c r="D146" s="39">
        <f t="shared" si="34"/>
        <v>9.8523645258155469E-6</v>
      </c>
    </row>
    <row r="147" spans="1:4">
      <c r="A147" s="4" t="s">
        <v>239</v>
      </c>
      <c r="B147" s="4"/>
      <c r="C147" s="39">
        <f t="shared" si="33"/>
        <v>6.8950212767730703E-5</v>
      </c>
      <c r="D147" s="39">
        <f t="shared" si="34"/>
        <v>6.8950212767730693E-7</v>
      </c>
    </row>
    <row r="148" spans="1:4">
      <c r="A148" s="4" t="s">
        <v>177</v>
      </c>
      <c r="B148" s="4"/>
      <c r="C148" s="39">
        <f t="shared" si="33"/>
        <v>8.0224062722644013E-4</v>
      </c>
      <c r="D148" s="39">
        <f t="shared" si="34"/>
        <v>8.0224062722644017E-6</v>
      </c>
    </row>
    <row r="149" spans="1:4">
      <c r="A149" s="4" t="s">
        <v>12</v>
      </c>
      <c r="B149" s="4"/>
      <c r="C149" s="39">
        <f t="shared" si="33"/>
        <v>9.6236197441216544E-4</v>
      </c>
      <c r="D149" s="39">
        <f t="shared" si="34"/>
        <v>9.6236197441216535E-6</v>
      </c>
    </row>
    <row r="150" spans="1:4">
      <c r="A150" s="4"/>
      <c r="B150" s="4" t="s">
        <v>107</v>
      </c>
      <c r="C150" s="39">
        <f t="shared" si="33"/>
        <v>1.1110460825131961E-9</v>
      </c>
      <c r="D150" s="39">
        <f t="shared" si="34"/>
        <v>1.1110460825131961E-11</v>
      </c>
    </row>
    <row r="151" spans="1:4">
      <c r="A151" s="4" t="s">
        <v>22</v>
      </c>
      <c r="B151" s="4"/>
      <c r="C151" s="39">
        <f t="shared" si="33"/>
        <v>6.7152932340135824E-5</v>
      </c>
      <c r="D151" s="39">
        <f t="shared" si="34"/>
        <v>6.7152932340135821E-7</v>
      </c>
    </row>
    <row r="152" spans="1:4">
      <c r="A152" s="4" t="s">
        <v>19</v>
      </c>
      <c r="B152" s="4"/>
      <c r="C152" s="39">
        <f t="shared" si="33"/>
        <v>8.0714230111988072E-6</v>
      </c>
      <c r="D152" s="39">
        <f t="shared" si="34"/>
        <v>8.071423011198807E-8</v>
      </c>
    </row>
    <row r="153" spans="1:4">
      <c r="A153" s="4" t="s">
        <v>14</v>
      </c>
      <c r="B153" s="4"/>
      <c r="C153" s="39">
        <f t="shared" si="33"/>
        <v>4.297134113249567E-4</v>
      </c>
      <c r="D153" s="39">
        <f t="shared" si="34"/>
        <v>4.2971341132495675E-6</v>
      </c>
    </row>
    <row r="154" spans="1:4">
      <c r="A154" s="4" t="s">
        <v>156</v>
      </c>
      <c r="B154" s="4"/>
      <c r="C154" s="39">
        <f t="shared" si="33"/>
        <v>1.2956757991661243E-5</v>
      </c>
      <c r="D154" s="39">
        <f t="shared" si="34"/>
        <v>1.2956757991661244E-7</v>
      </c>
    </row>
    <row r="155" spans="1:4">
      <c r="A155" s="4" t="s">
        <v>20</v>
      </c>
      <c r="B155" s="4"/>
      <c r="C155" s="39">
        <f t="shared" si="33"/>
        <v>1.2956757991661243E-5</v>
      </c>
      <c r="D155" s="39">
        <f t="shared" si="34"/>
        <v>1.2956757991661244E-7</v>
      </c>
    </row>
    <row r="156" spans="1:4">
      <c r="A156" s="4"/>
      <c r="B156" s="4" t="s">
        <v>29</v>
      </c>
      <c r="C156" s="39">
        <f t="shared" si="33"/>
        <v>1.4312887768846467E-4</v>
      </c>
      <c r="D156" s="39">
        <f t="shared" si="34"/>
        <v>1.4312887768846466E-6</v>
      </c>
    </row>
    <row r="157" spans="1:4">
      <c r="A157" s="4"/>
      <c r="B157" s="4" t="s">
        <v>108</v>
      </c>
      <c r="C157" s="39">
        <f t="shared" si="33"/>
        <v>0</v>
      </c>
      <c r="D157" s="39">
        <f t="shared" si="34"/>
        <v>0</v>
      </c>
    </row>
    <row r="158" spans="1:4">
      <c r="A158" s="4"/>
      <c r="B158" s="4" t="s">
        <v>109</v>
      </c>
      <c r="C158" s="39">
        <f t="shared" si="33"/>
        <v>8.7576573562804873E-6</v>
      </c>
      <c r="D158" s="39">
        <f t="shared" si="34"/>
        <v>8.7576573562804865E-8</v>
      </c>
    </row>
    <row r="159" spans="1:4">
      <c r="A159" s="4"/>
      <c r="B159" s="4" t="s">
        <v>110</v>
      </c>
      <c r="C159" s="39">
        <f t="shared" si="33"/>
        <v>2.6632428154360434E-7</v>
      </c>
      <c r="D159" s="39">
        <f t="shared" si="34"/>
        <v>2.6632428154360435E-9</v>
      </c>
    </row>
    <row r="160" spans="1:4">
      <c r="A160" s="4" t="s">
        <v>111</v>
      </c>
      <c r="B160" s="4"/>
      <c r="C160" s="39">
        <f t="shared" si="33"/>
        <v>9.0844356158431916E-5</v>
      </c>
      <c r="D160" s="39">
        <f t="shared" si="34"/>
        <v>9.0844356158431911E-7</v>
      </c>
    </row>
    <row r="161" spans="1:4">
      <c r="A161" s="4" t="s">
        <v>30</v>
      </c>
      <c r="B161" s="4"/>
      <c r="C161" s="39">
        <f t="shared" si="33"/>
        <v>9.0844356158431916E-5</v>
      </c>
      <c r="D161" s="39">
        <f t="shared" si="34"/>
        <v>9.0844356158431911E-7</v>
      </c>
    </row>
    <row r="162" spans="1:4">
      <c r="A162" s="4"/>
      <c r="B162" s="4" t="s">
        <v>31</v>
      </c>
      <c r="C162" s="39">
        <f t="shared" si="33"/>
        <v>5.5062136736315747E-6</v>
      </c>
      <c r="D162" s="39">
        <f t="shared" si="34"/>
        <v>5.5062136736315746E-8</v>
      </c>
    </row>
    <row r="163" spans="1:4">
      <c r="A163" s="4"/>
      <c r="B163" s="4" t="s">
        <v>32</v>
      </c>
      <c r="C163" s="39">
        <f t="shared" si="33"/>
        <v>0</v>
      </c>
      <c r="D163" s="39">
        <f t="shared" si="34"/>
        <v>0</v>
      </c>
    </row>
    <row r="164" spans="1:4">
      <c r="A164" s="4" t="s">
        <v>13</v>
      </c>
      <c r="C164" s="39">
        <f t="shared" si="33"/>
        <v>1.6992469497260645E-5</v>
      </c>
      <c r="D164" s="39">
        <f t="shared" si="34"/>
        <v>1.6992469497260646E-7</v>
      </c>
    </row>
    <row r="165" spans="1:4" s="91" customFormat="1">
      <c r="A165" s="91" t="s">
        <v>18</v>
      </c>
      <c r="C165" s="92">
        <f t="shared" si="33"/>
        <v>1.6992469497260645E-5</v>
      </c>
      <c r="D165" s="92">
        <f t="shared" si="34"/>
        <v>1.6992469497260646E-7</v>
      </c>
    </row>
    <row r="166" spans="1:4" s="91" customFormat="1">
      <c r="A166" s="91" t="s">
        <v>9</v>
      </c>
      <c r="C166" s="92">
        <f t="shared" si="33"/>
        <v>2.418159120764015E-5</v>
      </c>
      <c r="D166" s="92">
        <f t="shared" si="34"/>
        <v>2.418159120764015E-7</v>
      </c>
    </row>
    <row r="168" spans="1:4" s="113" customFormat="1" ht="12.75">
      <c r="A168" s="44" t="s">
        <v>297</v>
      </c>
      <c r="B168" s="44" t="s">
        <v>63</v>
      </c>
      <c r="C168" s="44"/>
      <c r="D168" s="44"/>
    </row>
    <row r="169" spans="1:4">
      <c r="A169" s="129" t="s">
        <v>149</v>
      </c>
      <c r="B169" s="129" t="s">
        <v>150</v>
      </c>
      <c r="C169" s="130" t="s">
        <v>172</v>
      </c>
      <c r="D169" s="130"/>
    </row>
    <row r="170" spans="1:4">
      <c r="A170" s="129"/>
      <c r="B170" s="129"/>
      <c r="C170" s="76" t="s">
        <v>73</v>
      </c>
      <c r="D170" s="76" t="s">
        <v>74</v>
      </c>
    </row>
    <row r="171" spans="1:4">
      <c r="A171" s="4" t="s">
        <v>33</v>
      </c>
      <c r="B171" s="4"/>
      <c r="C171" s="39">
        <f>C134</f>
        <v>5.8672533920058674E-6</v>
      </c>
      <c r="D171" s="39">
        <f>D134</f>
        <v>5.8672533920058667E-8</v>
      </c>
    </row>
    <row r="172" spans="1:4">
      <c r="A172" s="4"/>
      <c r="B172" s="4" t="s">
        <v>43</v>
      </c>
      <c r="C172" s="39">
        <f>C135</f>
        <v>1.3011221122112216E-5</v>
      </c>
      <c r="D172" s="39">
        <f>D135</f>
        <v>1.3011221122112215E-7</v>
      </c>
    </row>
    <row r="173" spans="1:4">
      <c r="A173" s="4" t="s">
        <v>10</v>
      </c>
      <c r="B173" s="4"/>
      <c r="C173" s="39">
        <f>Other_CDc_cereal*Interim_Cuw_small*Other_Sp_cereal/(365*VLOOKUP($B168,Other_regional_data,7,FALSE)*Other_Fc)</f>
        <v>2.9445695115432324E-2</v>
      </c>
      <c r="D173" s="39">
        <f>Other_CDc_cereal*Interim_Cuw_large*Other_Sp_cereal/(365*VLOOKUP($B168,Other_regional_data,7,FALSE)*Other_Fc)</f>
        <v>2.9445695115432323E-4</v>
      </c>
    </row>
    <row r="174" spans="1:4">
      <c r="A174" s="4" t="s">
        <v>240</v>
      </c>
      <c r="B174" s="4"/>
      <c r="C174" s="39">
        <f t="shared" ref="C174:C203" si="35">VLOOKUP(IF(ISBLANK($A174),$B174,$A174),Radionuclide_specific,9,FALSE)*VLOOKUP($B$168,Interim_regional_data,7,FALSE)</f>
        <v>1.4341843193093405E-3</v>
      </c>
      <c r="D174" s="39">
        <f t="shared" ref="D174:D203" si="36">VLOOKUP(IF(ISBLANK($A174),$B174,$A174),Radionuclide_specific,9,FALSE)*VLOOKUP($B$168,Interim_regional_data,8,FALSE)</f>
        <v>1.4341843193093405E-5</v>
      </c>
    </row>
    <row r="175" spans="1:4">
      <c r="A175" s="4" t="s">
        <v>237</v>
      </c>
      <c r="B175" s="4"/>
      <c r="C175" s="39">
        <f t="shared" si="35"/>
        <v>3.3143884269293608E-4</v>
      </c>
      <c r="D175" s="39">
        <f t="shared" si="36"/>
        <v>3.3143884269293604E-6</v>
      </c>
    </row>
    <row r="176" spans="1:4">
      <c r="A176" s="4" t="s">
        <v>236</v>
      </c>
      <c r="B176" s="4"/>
      <c r="C176" s="39">
        <f t="shared" si="35"/>
        <v>2.0455390291489788E-4</v>
      </c>
      <c r="D176" s="39">
        <f t="shared" si="36"/>
        <v>2.0455390291489789E-6</v>
      </c>
    </row>
    <row r="177" spans="1:4">
      <c r="A177" s="4" t="s">
        <v>11</v>
      </c>
      <c r="B177" s="4"/>
      <c r="C177" s="39">
        <f t="shared" si="35"/>
        <v>4.0756980655975896E-4</v>
      </c>
      <c r="D177" s="39">
        <f t="shared" si="36"/>
        <v>4.0756980655975892E-6</v>
      </c>
    </row>
    <row r="178" spans="1:4">
      <c r="A178" s="4" t="s">
        <v>178</v>
      </c>
      <c r="B178" s="4"/>
      <c r="C178" s="39">
        <f t="shared" si="35"/>
        <v>6.9594466969166388E-4</v>
      </c>
      <c r="D178" s="39">
        <f t="shared" si="36"/>
        <v>6.9594466969166385E-6</v>
      </c>
    </row>
    <row r="179" spans="1:4">
      <c r="A179" s="4" t="s">
        <v>17</v>
      </c>
      <c r="B179" s="4"/>
      <c r="C179" s="39">
        <f t="shared" si="35"/>
        <v>2.7261037061402744E-3</v>
      </c>
      <c r="D179" s="39">
        <f t="shared" si="36"/>
        <v>2.7261037061402746E-5</v>
      </c>
    </row>
    <row r="180" spans="1:4">
      <c r="A180" s="4"/>
      <c r="B180" s="4" t="s">
        <v>105</v>
      </c>
      <c r="C180" s="39">
        <f t="shared" si="35"/>
        <v>0</v>
      </c>
      <c r="D180" s="39">
        <f t="shared" si="36"/>
        <v>0</v>
      </c>
    </row>
    <row r="181" spans="1:4">
      <c r="A181" s="4" t="s">
        <v>66</v>
      </c>
      <c r="B181" s="4"/>
      <c r="C181" s="39">
        <f t="shared" si="35"/>
        <v>3.7604082152400403E-5</v>
      </c>
      <c r="D181" s="39">
        <f t="shared" si="36"/>
        <v>3.76040821524004E-7</v>
      </c>
    </row>
    <row r="182" spans="1:4">
      <c r="A182" s="4"/>
      <c r="B182" s="4" t="s">
        <v>106</v>
      </c>
      <c r="C182" s="39">
        <f t="shared" si="35"/>
        <v>0</v>
      </c>
      <c r="D182" s="39">
        <f t="shared" si="36"/>
        <v>0</v>
      </c>
    </row>
    <row r="183" spans="1:4">
      <c r="A183" s="4" t="s">
        <v>67</v>
      </c>
      <c r="B183" s="4"/>
      <c r="C183" s="39">
        <f t="shared" si="35"/>
        <v>2.3185338995805158E-3</v>
      </c>
      <c r="D183" s="39">
        <f t="shared" si="36"/>
        <v>2.3185338995805157E-5</v>
      </c>
    </row>
    <row r="184" spans="1:4">
      <c r="A184" s="4" t="s">
        <v>239</v>
      </c>
      <c r="B184" s="4"/>
      <c r="C184" s="39">
        <f t="shared" si="35"/>
        <v>1.6225892298888517E-4</v>
      </c>
      <c r="D184" s="39">
        <f t="shared" si="36"/>
        <v>1.6225892298888517E-6</v>
      </c>
    </row>
    <row r="185" spans="1:4">
      <c r="A185" s="4" t="s">
        <v>177</v>
      </c>
      <c r="B185" s="4"/>
      <c r="C185" s="39">
        <f t="shared" si="35"/>
        <v>1.8878941039702042E-3</v>
      </c>
      <c r="D185" s="39">
        <f t="shared" si="36"/>
        <v>1.8878941039702042E-5</v>
      </c>
    </row>
    <row r="186" spans="1:4">
      <c r="A186" s="4" t="s">
        <v>12</v>
      </c>
      <c r="B186" s="4"/>
      <c r="C186" s="39">
        <f t="shared" si="35"/>
        <v>2.2647039251292266E-3</v>
      </c>
      <c r="D186" s="39">
        <f t="shared" si="36"/>
        <v>2.2647039251292268E-5</v>
      </c>
    </row>
    <row r="187" spans="1:4">
      <c r="A187" s="4"/>
      <c r="B187" s="4" t="s">
        <v>107</v>
      </c>
      <c r="C187" s="39">
        <f t="shared" si="35"/>
        <v>2.6145987590626049E-9</v>
      </c>
      <c r="D187" s="39">
        <f t="shared" si="36"/>
        <v>2.6145987590626049E-11</v>
      </c>
    </row>
    <row r="188" spans="1:4">
      <c r="A188" s="4" t="s">
        <v>22</v>
      </c>
      <c r="B188" s="4"/>
      <c r="C188" s="39">
        <f t="shared" si="35"/>
        <v>1.5802942499628389E-4</v>
      </c>
      <c r="D188" s="39">
        <f t="shared" si="36"/>
        <v>1.580294249962839E-6</v>
      </c>
    </row>
    <row r="189" spans="1:4">
      <c r="A189" s="4" t="s">
        <v>19</v>
      </c>
      <c r="B189" s="4"/>
      <c r="C189" s="39">
        <f t="shared" si="35"/>
        <v>1.8994290984954805E-5</v>
      </c>
      <c r="D189" s="39">
        <f t="shared" si="36"/>
        <v>1.8994290984954804E-7</v>
      </c>
    </row>
    <row r="190" spans="1:4">
      <c r="A190" s="4" t="s">
        <v>14</v>
      </c>
      <c r="B190" s="4"/>
      <c r="C190" s="39">
        <f t="shared" si="35"/>
        <v>1.0112345200492133E-3</v>
      </c>
      <c r="D190" s="39">
        <f t="shared" si="36"/>
        <v>1.0112345200492132E-5</v>
      </c>
    </row>
    <row r="191" spans="1:4">
      <c r="A191" s="4" t="s">
        <v>156</v>
      </c>
      <c r="B191" s="4"/>
      <c r="C191" s="39">
        <f t="shared" si="35"/>
        <v>3.049083552848008E-5</v>
      </c>
      <c r="D191" s="39">
        <f t="shared" si="36"/>
        <v>3.0490835528480081E-7</v>
      </c>
    </row>
    <row r="192" spans="1:4">
      <c r="A192" s="4" t="s">
        <v>20</v>
      </c>
      <c r="B192" s="4"/>
      <c r="C192" s="39">
        <f t="shared" si="35"/>
        <v>3.049083552848008E-5</v>
      </c>
      <c r="D192" s="39">
        <f t="shared" si="36"/>
        <v>3.0490835528480081E-7</v>
      </c>
    </row>
    <row r="193" spans="1:4">
      <c r="A193" s="4"/>
      <c r="B193" s="4" t="s">
        <v>29</v>
      </c>
      <c r="C193" s="39">
        <f t="shared" si="35"/>
        <v>3.3682184013806497E-4</v>
      </c>
      <c r="D193" s="39">
        <f t="shared" si="36"/>
        <v>3.3682184013806493E-6</v>
      </c>
    </row>
    <row r="194" spans="1:4">
      <c r="A194" s="4"/>
      <c r="B194" s="4" t="s">
        <v>108</v>
      </c>
      <c r="C194" s="39">
        <f t="shared" si="35"/>
        <v>0</v>
      </c>
      <c r="D194" s="39">
        <f t="shared" si="36"/>
        <v>0</v>
      </c>
    </row>
    <row r="195" spans="1:4">
      <c r="A195" s="4"/>
      <c r="B195" s="4" t="s">
        <v>109</v>
      </c>
      <c r="C195" s="39">
        <f t="shared" si="35"/>
        <v>2.0609190218493472E-5</v>
      </c>
      <c r="D195" s="39">
        <f t="shared" si="36"/>
        <v>2.0609190218493472E-7</v>
      </c>
    </row>
    <row r="196" spans="1:4">
      <c r="A196" s="4"/>
      <c r="B196" s="4" t="s">
        <v>110</v>
      </c>
      <c r="C196" s="39">
        <f t="shared" si="35"/>
        <v>6.2673470254000676E-7</v>
      </c>
      <c r="D196" s="39">
        <f t="shared" si="36"/>
        <v>6.2673470254000669E-9</v>
      </c>
    </row>
    <row r="197" spans="1:4">
      <c r="A197" s="4" t="s">
        <v>111</v>
      </c>
      <c r="B197" s="4"/>
      <c r="C197" s="39">
        <f t="shared" si="35"/>
        <v>2.1378189853511886E-4</v>
      </c>
      <c r="D197" s="39">
        <f t="shared" si="36"/>
        <v>2.1378189853511886E-6</v>
      </c>
    </row>
    <row r="198" spans="1:4">
      <c r="A198" s="4" t="s">
        <v>30</v>
      </c>
      <c r="B198" s="4"/>
      <c r="C198" s="39">
        <f t="shared" si="35"/>
        <v>2.1378189853511886E-4</v>
      </c>
      <c r="D198" s="39">
        <f t="shared" si="36"/>
        <v>2.1378189853511886E-6</v>
      </c>
    </row>
    <row r="199" spans="1:4">
      <c r="A199" s="4"/>
      <c r="B199" s="4" t="s">
        <v>31</v>
      </c>
      <c r="C199" s="39">
        <f t="shared" si="35"/>
        <v>1.2957643850060262E-5</v>
      </c>
      <c r="D199" s="39">
        <f t="shared" si="36"/>
        <v>1.2957643850060261E-7</v>
      </c>
    </row>
    <row r="200" spans="1:4">
      <c r="A200" s="4"/>
      <c r="B200" s="4" t="s">
        <v>32</v>
      </c>
      <c r="C200" s="39">
        <f t="shared" si="35"/>
        <v>0</v>
      </c>
      <c r="D200" s="39">
        <f t="shared" si="36"/>
        <v>0</v>
      </c>
    </row>
    <row r="201" spans="1:4">
      <c r="A201" s="4" t="s">
        <v>13</v>
      </c>
      <c r="C201" s="39">
        <f t="shared" si="35"/>
        <v>3.9987981020957484E-5</v>
      </c>
      <c r="D201" s="39">
        <f t="shared" si="36"/>
        <v>3.998798102095748E-7</v>
      </c>
    </row>
    <row r="202" spans="1:4" s="91" customFormat="1">
      <c r="A202" s="91" t="s">
        <v>18</v>
      </c>
      <c r="C202" s="92">
        <f t="shared" si="35"/>
        <v>3.9987981020957484E-5</v>
      </c>
      <c r="D202" s="92">
        <f t="shared" si="36"/>
        <v>3.998798102095748E-7</v>
      </c>
    </row>
    <row r="203" spans="1:4" ht="11.25" customHeight="1">
      <c r="A203" t="s">
        <v>9</v>
      </c>
      <c r="C203" s="39">
        <f t="shared" si="35"/>
        <v>5.6905972991362574E-5</v>
      </c>
      <c r="D203" s="39">
        <f t="shared" si="36"/>
        <v>5.6905972991362574E-7</v>
      </c>
    </row>
    <row r="205" spans="1:4" s="113" customFormat="1" ht="12.75">
      <c r="A205" s="44" t="s">
        <v>297</v>
      </c>
      <c r="B205" s="44" t="s">
        <v>58</v>
      </c>
      <c r="C205" s="44"/>
      <c r="D205" s="44"/>
    </row>
    <row r="206" spans="1:4">
      <c r="A206" s="129" t="s">
        <v>149</v>
      </c>
      <c r="B206" s="129" t="s">
        <v>150</v>
      </c>
      <c r="C206" s="130" t="s">
        <v>172</v>
      </c>
      <c r="D206" s="130"/>
    </row>
    <row r="207" spans="1:4">
      <c r="A207" s="129"/>
      <c r="B207" s="129"/>
      <c r="C207" s="76" t="s">
        <v>73</v>
      </c>
      <c r="D207" s="76" t="s">
        <v>74</v>
      </c>
    </row>
    <row r="208" spans="1:4">
      <c r="A208" s="4" t="s">
        <v>33</v>
      </c>
      <c r="B208" s="4"/>
      <c r="C208" s="39">
        <f>C171</f>
        <v>5.8672533920058674E-6</v>
      </c>
      <c r="D208" s="39">
        <f>D171</f>
        <v>5.8672533920058667E-8</v>
      </c>
    </row>
    <row r="209" spans="1:4">
      <c r="A209" s="4"/>
      <c r="B209" s="4" t="s">
        <v>43</v>
      </c>
      <c r="C209" s="39">
        <f>C172</f>
        <v>1.3011221122112216E-5</v>
      </c>
      <c r="D209" s="39">
        <f>D172</f>
        <v>1.3011221122112215E-7</v>
      </c>
    </row>
    <row r="210" spans="1:4">
      <c r="A210" s="4" t="s">
        <v>10</v>
      </c>
      <c r="B210" s="4"/>
      <c r="C210" s="39">
        <f>Other_CDc_cereal*Interim_Cuw_small*Other_Sp_cereal/(365*VLOOKUP($B205,Other_regional_data,7,FALSE)*Other_Fc)</f>
        <v>1.9014835493291773E-2</v>
      </c>
      <c r="D210" s="39">
        <f>Other_CDc_cereal*Interim_Cuw_large*Other_Sp_cereal/(365*VLOOKUP($B205,Other_regional_data,7,FALSE)*Other_Fc)</f>
        <v>1.9014835493291773E-4</v>
      </c>
    </row>
    <row r="211" spans="1:4">
      <c r="A211" s="4" t="s">
        <v>240</v>
      </c>
      <c r="B211" s="4"/>
      <c r="C211" s="39">
        <f t="shared" ref="C211:C240" si="37">VLOOKUP(IF(ISBLANK($A211),$B211,$A211),Radionuclide_specific,9,FALSE)*VLOOKUP($B$205,Interim_regional_data,7,FALSE)</f>
        <v>9.2613805827369605E-4</v>
      </c>
      <c r="D211" s="39">
        <f t="shared" ref="D211:D240" si="38">VLOOKUP(IF(ISBLANK($A211),$B211,$A211),Radionuclide_specific,9,FALSE)*VLOOKUP($B$205,Interim_regional_data,8,FALSE)</f>
        <v>9.2613805827369594E-6</v>
      </c>
    </row>
    <row r="212" spans="1:4">
      <c r="A212" s="4" t="s">
        <v>237</v>
      </c>
      <c r="B212" s="4"/>
      <c r="C212" s="39">
        <f t="shared" si="37"/>
        <v>2.1402976038389438E-4</v>
      </c>
      <c r="D212" s="39">
        <f t="shared" si="38"/>
        <v>2.1402976038389433E-6</v>
      </c>
    </row>
    <row r="213" spans="1:4">
      <c r="A213" s="4" t="s">
        <v>236</v>
      </c>
      <c r="B213" s="4"/>
      <c r="C213" s="39">
        <f t="shared" si="37"/>
        <v>1.3209261313715988E-4</v>
      </c>
      <c r="D213" s="39">
        <f t="shared" si="38"/>
        <v>1.3209261313715984E-6</v>
      </c>
    </row>
    <row r="214" spans="1:4">
      <c r="A214" s="4" t="s">
        <v>11</v>
      </c>
      <c r="B214" s="4"/>
      <c r="C214" s="39">
        <f t="shared" si="37"/>
        <v>2.6319204873193508E-4</v>
      </c>
      <c r="D214" s="39">
        <f t="shared" si="38"/>
        <v>2.6319204873193501E-6</v>
      </c>
    </row>
    <row r="215" spans="1:4">
      <c r="A215" s="4" t="s">
        <v>178</v>
      </c>
      <c r="B215" s="4"/>
      <c r="C215" s="39">
        <f t="shared" si="37"/>
        <v>4.4941283792905893E-4</v>
      </c>
      <c r="D215" s="39">
        <f t="shared" si="38"/>
        <v>4.4941283792905886E-6</v>
      </c>
    </row>
    <row r="216" spans="1:4">
      <c r="A216" s="4" t="s">
        <v>17</v>
      </c>
      <c r="B216" s="4"/>
      <c r="C216" s="39">
        <f t="shared" si="37"/>
        <v>1.7604071938768109E-3</v>
      </c>
      <c r="D216" s="39">
        <f t="shared" si="38"/>
        <v>1.7604071938768107E-5</v>
      </c>
    </row>
    <row r="217" spans="1:4">
      <c r="A217" s="4"/>
      <c r="B217" s="4" t="s">
        <v>105</v>
      </c>
      <c r="C217" s="39">
        <f t="shared" si="37"/>
        <v>0</v>
      </c>
      <c r="D217" s="39">
        <f t="shared" si="38"/>
        <v>0</v>
      </c>
    </row>
    <row r="218" spans="1:4">
      <c r="A218" s="4" t="s">
        <v>66</v>
      </c>
      <c r="B218" s="4"/>
      <c r="C218" s="39">
        <f t="shared" si="37"/>
        <v>2.4283190911304954E-5</v>
      </c>
      <c r="D218" s="39">
        <f t="shared" si="38"/>
        <v>2.4283190911304947E-7</v>
      </c>
    </row>
    <row r="219" spans="1:4">
      <c r="A219" s="4"/>
      <c r="B219" s="4" t="s">
        <v>106</v>
      </c>
      <c r="C219" s="39">
        <f t="shared" si="37"/>
        <v>0</v>
      </c>
      <c r="D219" s="39">
        <f t="shared" si="38"/>
        <v>0</v>
      </c>
    </row>
    <row r="220" spans="1:4">
      <c r="A220" s="4" t="s">
        <v>67</v>
      </c>
      <c r="B220" s="4"/>
      <c r="C220" s="39">
        <f t="shared" si="37"/>
        <v>1.497215145144876E-3</v>
      </c>
      <c r="D220" s="39">
        <f t="shared" si="38"/>
        <v>1.4972151451448757E-5</v>
      </c>
    </row>
    <row r="221" spans="1:4">
      <c r="A221" s="4" t="s">
        <v>239</v>
      </c>
      <c r="B221" s="4"/>
      <c r="C221" s="39">
        <f t="shared" si="37"/>
        <v>1.047802307215817E-4</v>
      </c>
      <c r="D221" s="39">
        <f t="shared" si="38"/>
        <v>1.0478023072158167E-6</v>
      </c>
    </row>
    <row r="222" spans="1:4">
      <c r="A222" s="4" t="s">
        <v>177</v>
      </c>
      <c r="B222" s="4"/>
      <c r="C222" s="39">
        <f t="shared" si="37"/>
        <v>1.219125433277171E-3</v>
      </c>
      <c r="D222" s="39">
        <f t="shared" si="38"/>
        <v>1.2191254332771707E-5</v>
      </c>
    </row>
    <row r="223" spans="1:4">
      <c r="A223" s="4" t="s">
        <v>12</v>
      </c>
      <c r="B223" s="4"/>
      <c r="C223" s="39">
        <f t="shared" si="37"/>
        <v>1.4624539311614128E-3</v>
      </c>
      <c r="D223" s="39">
        <f t="shared" si="38"/>
        <v>1.4624539311614125E-5</v>
      </c>
    </row>
    <row r="224" spans="1:4">
      <c r="A224" s="4"/>
      <c r="B224" s="4" t="s">
        <v>107</v>
      </c>
      <c r="C224" s="39">
        <f t="shared" si="37"/>
        <v>1.6884018220539233E-9</v>
      </c>
      <c r="D224" s="39">
        <f t="shared" si="38"/>
        <v>1.6884018220539228E-11</v>
      </c>
    </row>
    <row r="225" spans="1:4">
      <c r="A225" s="4" t="s">
        <v>22</v>
      </c>
      <c r="B225" s="4"/>
      <c r="C225" s="39">
        <f t="shared" si="37"/>
        <v>1.0204899248002389E-4</v>
      </c>
      <c r="D225" s="39">
        <f t="shared" si="38"/>
        <v>1.0204899248002387E-6</v>
      </c>
    </row>
    <row r="226" spans="1:4">
      <c r="A226" s="4" t="s">
        <v>19</v>
      </c>
      <c r="B226" s="4"/>
      <c r="C226" s="39">
        <f t="shared" si="37"/>
        <v>1.2265742648450559E-5</v>
      </c>
      <c r="D226" s="39">
        <f t="shared" si="38"/>
        <v>1.2265742648450557E-7</v>
      </c>
    </row>
    <row r="227" spans="1:4">
      <c r="A227" s="4" t="s">
        <v>14</v>
      </c>
      <c r="B227" s="4"/>
      <c r="C227" s="39">
        <f t="shared" si="37"/>
        <v>6.5301423411791434E-4</v>
      </c>
      <c r="D227" s="39">
        <f t="shared" si="38"/>
        <v>6.5301423411791421E-6</v>
      </c>
    </row>
    <row r="228" spans="1:4">
      <c r="A228" s="4" t="s">
        <v>156</v>
      </c>
      <c r="B228" s="4"/>
      <c r="C228" s="39">
        <f t="shared" si="37"/>
        <v>1.9689744777775897E-5</v>
      </c>
      <c r="D228" s="39">
        <f t="shared" si="38"/>
        <v>1.9689744777775894E-7</v>
      </c>
    </row>
    <row r="229" spans="1:4">
      <c r="A229" s="4" t="s">
        <v>20</v>
      </c>
      <c r="B229" s="4"/>
      <c r="C229" s="39">
        <f t="shared" si="37"/>
        <v>1.9689744777775897E-5</v>
      </c>
      <c r="D229" s="39">
        <f t="shared" si="38"/>
        <v>1.9689744777775894E-7</v>
      </c>
    </row>
    <row r="230" spans="1:4">
      <c r="A230" s="4"/>
      <c r="B230" s="4" t="s">
        <v>29</v>
      </c>
      <c r="C230" s="39">
        <f t="shared" si="37"/>
        <v>2.1750588178224068E-4</v>
      </c>
      <c r="D230" s="39">
        <f t="shared" si="38"/>
        <v>2.1750588178224065E-6</v>
      </c>
    </row>
    <row r="231" spans="1:4">
      <c r="A231" s="4"/>
      <c r="B231" s="4" t="s">
        <v>108</v>
      </c>
      <c r="C231" s="39">
        <f t="shared" si="37"/>
        <v>0</v>
      </c>
      <c r="D231" s="39">
        <f t="shared" si="38"/>
        <v>0</v>
      </c>
    </row>
    <row r="232" spans="1:4">
      <c r="A232" s="4"/>
      <c r="B232" s="4" t="s">
        <v>109</v>
      </c>
      <c r="C232" s="39">
        <f t="shared" si="37"/>
        <v>1.3308579067954452E-5</v>
      </c>
      <c r="D232" s="39">
        <f t="shared" si="38"/>
        <v>1.330857906795445E-7</v>
      </c>
    </row>
    <row r="233" spans="1:4">
      <c r="A233" s="4"/>
      <c r="B233" s="4" t="s">
        <v>110</v>
      </c>
      <c r="C233" s="39">
        <f t="shared" si="37"/>
        <v>4.0471984852174923E-7</v>
      </c>
      <c r="D233" s="39">
        <f t="shared" si="38"/>
        <v>4.047198485217491E-9</v>
      </c>
    </row>
    <row r="234" spans="1:4">
      <c r="A234" s="4" t="s">
        <v>111</v>
      </c>
      <c r="B234" s="4"/>
      <c r="C234" s="39">
        <f t="shared" si="37"/>
        <v>1.3805167839146782E-4</v>
      </c>
      <c r="D234" s="39">
        <f t="shared" si="38"/>
        <v>1.380516783914678E-6</v>
      </c>
    </row>
    <row r="235" spans="1:4">
      <c r="A235" s="4" t="s">
        <v>30</v>
      </c>
      <c r="B235" s="4"/>
      <c r="C235" s="39">
        <f t="shared" si="37"/>
        <v>1.3805167839146782E-4</v>
      </c>
      <c r="D235" s="39">
        <f t="shared" si="38"/>
        <v>1.380516783914678E-6</v>
      </c>
    </row>
    <row r="236" spans="1:4">
      <c r="A236" s="4"/>
      <c r="B236" s="4" t="s">
        <v>31</v>
      </c>
      <c r="C236" s="39">
        <f t="shared" si="37"/>
        <v>8.3675207945907663E-6</v>
      </c>
      <c r="D236" s="39">
        <f t="shared" si="38"/>
        <v>8.3675207945907642E-8</v>
      </c>
    </row>
    <row r="237" spans="1:4">
      <c r="A237" s="4"/>
      <c r="B237" s="4" t="s">
        <v>32</v>
      </c>
      <c r="C237" s="39">
        <f t="shared" si="37"/>
        <v>0</v>
      </c>
      <c r="D237" s="39">
        <f t="shared" si="38"/>
        <v>0</v>
      </c>
    </row>
    <row r="238" spans="1:4">
      <c r="A238" s="4" t="s">
        <v>13</v>
      </c>
      <c r="C238" s="39">
        <f t="shared" si="37"/>
        <v>2.5822616102001177E-5</v>
      </c>
      <c r="D238" s="39">
        <f t="shared" si="38"/>
        <v>2.5822616102001174E-7</v>
      </c>
    </row>
    <row r="239" spans="1:4" s="91" customFormat="1">
      <c r="A239" s="91" t="s">
        <v>18</v>
      </c>
      <c r="C239" s="92">
        <f t="shared" si="37"/>
        <v>2.5822616102001177E-5</v>
      </c>
      <c r="D239" s="92">
        <f t="shared" si="38"/>
        <v>2.5822616102001174E-7</v>
      </c>
    </row>
    <row r="240" spans="1:4" s="91" customFormat="1">
      <c r="A240" s="91" t="s">
        <v>9</v>
      </c>
      <c r="C240" s="92">
        <f t="shared" si="37"/>
        <v>3.6747569068232443E-5</v>
      </c>
      <c r="D240" s="92">
        <f t="shared" si="38"/>
        <v>3.6747569068232436E-7</v>
      </c>
    </row>
    <row r="242" spans="1:4" s="113" customFormat="1" ht="12.75">
      <c r="A242" s="44" t="s">
        <v>297</v>
      </c>
      <c r="B242" s="44" t="s">
        <v>59</v>
      </c>
      <c r="C242" s="44"/>
      <c r="D242" s="44"/>
    </row>
    <row r="243" spans="1:4">
      <c r="A243" s="129" t="s">
        <v>149</v>
      </c>
      <c r="B243" s="129" t="s">
        <v>150</v>
      </c>
      <c r="C243" s="130" t="s">
        <v>172</v>
      </c>
      <c r="D243" s="130"/>
    </row>
    <row r="244" spans="1:4">
      <c r="A244" s="129"/>
      <c r="B244" s="129"/>
      <c r="C244" s="76" t="s">
        <v>73</v>
      </c>
      <c r="D244" s="76" t="s">
        <v>74</v>
      </c>
    </row>
    <row r="245" spans="1:4">
      <c r="A245" s="4" t="s">
        <v>33</v>
      </c>
      <c r="B245" s="4"/>
      <c r="C245" s="39">
        <f>C208</f>
        <v>5.8672533920058674E-6</v>
      </c>
      <c r="D245" s="39">
        <f>D208</f>
        <v>5.8672533920058667E-8</v>
      </c>
    </row>
    <row r="246" spans="1:4">
      <c r="A246" s="4"/>
      <c r="B246" s="4" t="s">
        <v>43</v>
      </c>
      <c r="C246" s="39">
        <f>C209</f>
        <v>1.3011221122112216E-5</v>
      </c>
      <c r="D246" s="39">
        <f>D209</f>
        <v>1.3011221122112215E-7</v>
      </c>
    </row>
    <row r="247" spans="1:4">
      <c r="A247" s="4" t="s">
        <v>10</v>
      </c>
      <c r="B247" s="4"/>
      <c r="C247" s="39">
        <f>Other_CDc_cereal*Interim_Cuw_small*Other_Sp_cereal/(365*VLOOKUP($B242,Other_regional_data,7,FALSE)*Other_Fc)</f>
        <v>5.180561045866422E-2</v>
      </c>
      <c r="D247" s="39">
        <f>Other_CDc_cereal*Interim_Cuw_large*Other_Sp_cereal/(365*VLOOKUP($B242,Other_regional_data,7,FALSE)*Other_Fc)</f>
        <v>5.1805610458664222E-4</v>
      </c>
    </row>
    <row r="248" spans="1:4">
      <c r="A248" s="4" t="s">
        <v>240</v>
      </c>
      <c r="B248" s="4"/>
      <c r="C248" s="39">
        <f t="shared" ref="C248:C277" si="39">VLOOKUP(IF(ISBLANK($A248),$B248,$A248),Radionuclide_specific,9,FALSE)*VLOOKUP($B$242,Interim_regional_data,7,FALSE)</f>
        <v>2.5232480972447687E-3</v>
      </c>
      <c r="D248" s="39">
        <f t="shared" ref="D248:D277" si="40">VLOOKUP(IF(ISBLANK($A248),$B248,$A248),Radionuclide_specific,9,FALSE)*VLOOKUP($B$242,Interim_regional_data,8,FALSE)</f>
        <v>2.5232480972447689E-5</v>
      </c>
    </row>
    <row r="249" spans="1:4">
      <c r="A249" s="4" t="s">
        <v>237</v>
      </c>
      <c r="B249" s="4"/>
      <c r="C249" s="39">
        <f t="shared" si="39"/>
        <v>5.8312060585120385E-4</v>
      </c>
      <c r="D249" s="39">
        <f t="shared" si="40"/>
        <v>5.8312060585120398E-6</v>
      </c>
    </row>
    <row r="250" spans="1:4">
      <c r="A250" s="4" t="s">
        <v>236</v>
      </c>
      <c r="B250" s="4"/>
      <c r="C250" s="39">
        <f t="shared" si="39"/>
        <v>3.5988417901721629E-4</v>
      </c>
      <c r="D250" s="39">
        <f t="shared" si="40"/>
        <v>3.5988417901721636E-6</v>
      </c>
    </row>
    <row r="251" spans="1:4">
      <c r="A251" s="4" t="s">
        <v>11</v>
      </c>
      <c r="B251" s="4"/>
      <c r="C251" s="39">
        <f t="shared" si="39"/>
        <v>7.1706246195159641E-4</v>
      </c>
      <c r="D251" s="39">
        <f t="shared" si="40"/>
        <v>7.1706246195159651E-6</v>
      </c>
    </row>
    <row r="252" spans="1:4">
      <c r="A252" s="4" t="s">
        <v>178</v>
      </c>
      <c r="B252" s="4"/>
      <c r="C252" s="39">
        <f t="shared" si="39"/>
        <v>1.2244179774833863E-3</v>
      </c>
      <c r="D252" s="39">
        <f t="shared" si="40"/>
        <v>1.2244179774833866E-5</v>
      </c>
    </row>
    <row r="253" spans="1:4">
      <c r="A253" s="4" t="s">
        <v>17</v>
      </c>
      <c r="B253" s="4"/>
      <c r="C253" s="39">
        <f t="shared" si="39"/>
        <v>4.7962008068271871E-3</v>
      </c>
      <c r="D253" s="39">
        <f t="shared" si="40"/>
        <v>4.796200806827188E-5</v>
      </c>
    </row>
    <row r="254" spans="1:4">
      <c r="A254" s="4"/>
      <c r="B254" s="4" t="s">
        <v>105</v>
      </c>
      <c r="C254" s="39">
        <f t="shared" si="39"/>
        <v>0</v>
      </c>
      <c r="D254" s="39">
        <f t="shared" si="40"/>
        <v>0</v>
      </c>
    </row>
    <row r="255" spans="1:4">
      <c r="A255" s="4" t="s">
        <v>66</v>
      </c>
      <c r="B255" s="4"/>
      <c r="C255" s="39">
        <f t="shared" si="39"/>
        <v>6.6159159225345407E-5</v>
      </c>
      <c r="D255" s="39">
        <f t="shared" si="40"/>
        <v>6.6159159225345422E-7</v>
      </c>
    </row>
    <row r="256" spans="1:4">
      <c r="A256" s="4"/>
      <c r="B256" s="4" t="s">
        <v>106</v>
      </c>
      <c r="C256" s="39">
        <f t="shared" si="39"/>
        <v>0</v>
      </c>
      <c r="D256" s="39">
        <f t="shared" si="40"/>
        <v>0</v>
      </c>
    </row>
    <row r="257" spans="1:4">
      <c r="A257" s="4" t="s">
        <v>67</v>
      </c>
      <c r="B257" s="4"/>
      <c r="C257" s="39">
        <f t="shared" si="39"/>
        <v>4.0791383448755911E-3</v>
      </c>
      <c r="D257" s="39">
        <f t="shared" si="40"/>
        <v>4.0791383448755918E-5</v>
      </c>
    </row>
    <row r="258" spans="1:4">
      <c r="A258" s="4" t="s">
        <v>239</v>
      </c>
      <c r="B258" s="4"/>
      <c r="C258" s="39">
        <f t="shared" si="39"/>
        <v>2.8547203673922044E-4</v>
      </c>
      <c r="D258" s="39">
        <f t="shared" si="40"/>
        <v>2.8547203673922049E-6</v>
      </c>
    </row>
    <row r="259" spans="1:4">
      <c r="A259" s="4" t="s">
        <v>177</v>
      </c>
      <c r="B259" s="4"/>
      <c r="C259" s="39">
        <f t="shared" si="39"/>
        <v>3.3214874416814515E-3</v>
      </c>
      <c r="D259" s="39">
        <f t="shared" si="40"/>
        <v>3.321487441681452E-5</v>
      </c>
    </row>
    <row r="260" spans="1:4">
      <c r="A260" s="4" t="s">
        <v>12</v>
      </c>
      <c r="B260" s="4"/>
      <c r="C260" s="39">
        <f t="shared" si="39"/>
        <v>3.9844319819763233E-3</v>
      </c>
      <c r="D260" s="39">
        <f t="shared" si="40"/>
        <v>3.9844319819763243E-5</v>
      </c>
    </row>
    <row r="261" spans="1:4">
      <c r="A261" s="4"/>
      <c r="B261" s="4" t="s">
        <v>107</v>
      </c>
      <c r="C261" s="39">
        <f t="shared" si="39"/>
        <v>4.6000233408215624E-9</v>
      </c>
      <c r="D261" s="39">
        <f t="shared" si="40"/>
        <v>4.6000233408215631E-11</v>
      </c>
    </row>
    <row r="262" spans="1:4">
      <c r="A262" s="4" t="s">
        <v>22</v>
      </c>
      <c r="B262" s="4"/>
      <c r="C262" s="39">
        <f t="shared" si="39"/>
        <v>2.7803082251142086E-4</v>
      </c>
      <c r="D262" s="39">
        <f t="shared" si="40"/>
        <v>2.7803082251142092E-6</v>
      </c>
    </row>
    <row r="263" spans="1:4">
      <c r="A263" s="4" t="s">
        <v>19</v>
      </c>
      <c r="B263" s="4"/>
      <c r="C263" s="39">
        <f t="shared" si="39"/>
        <v>3.3417816623027232E-5</v>
      </c>
      <c r="D263" s="39">
        <f t="shared" si="40"/>
        <v>3.3417816623027237E-7</v>
      </c>
    </row>
    <row r="264" spans="1:4">
      <c r="A264" s="4" t="s">
        <v>14</v>
      </c>
      <c r="B264" s="4"/>
      <c r="C264" s="39">
        <f t="shared" si="39"/>
        <v>1.77912667446481E-3</v>
      </c>
      <c r="D264" s="39">
        <f t="shared" si="40"/>
        <v>1.7791266744648101E-5</v>
      </c>
    </row>
    <row r="265" spans="1:4">
      <c r="A265" s="4" t="s">
        <v>156</v>
      </c>
      <c r="B265" s="4"/>
      <c r="C265" s="39">
        <f t="shared" si="39"/>
        <v>5.364438984222792E-5</v>
      </c>
      <c r="D265" s="39">
        <f t="shared" si="40"/>
        <v>5.3644389842227934E-7</v>
      </c>
    </row>
    <row r="266" spans="1:4">
      <c r="A266" s="4" t="s">
        <v>20</v>
      </c>
      <c r="B266" s="4"/>
      <c r="C266" s="39">
        <f t="shared" si="39"/>
        <v>5.364438984222792E-5</v>
      </c>
      <c r="D266" s="39">
        <f t="shared" si="40"/>
        <v>5.3644389842227934E-7</v>
      </c>
    </row>
    <row r="267" spans="1:4">
      <c r="A267" s="4"/>
      <c r="B267" s="4" t="s">
        <v>29</v>
      </c>
      <c r="C267" s="39">
        <f t="shared" si="39"/>
        <v>5.9259124214113067E-4</v>
      </c>
      <c r="D267" s="39">
        <f t="shared" si="40"/>
        <v>5.9259124214113069E-6</v>
      </c>
    </row>
    <row r="268" spans="1:4">
      <c r="A268" s="4"/>
      <c r="B268" s="4" t="s">
        <v>108</v>
      </c>
      <c r="C268" s="39">
        <f t="shared" si="39"/>
        <v>0</v>
      </c>
      <c r="D268" s="39">
        <f t="shared" si="40"/>
        <v>0</v>
      </c>
    </row>
    <row r="269" spans="1:4">
      <c r="A269" s="4"/>
      <c r="B269" s="4" t="s">
        <v>109</v>
      </c>
      <c r="C269" s="39">
        <f t="shared" si="39"/>
        <v>3.6259007510005252E-5</v>
      </c>
      <c r="D269" s="39">
        <f t="shared" si="40"/>
        <v>3.6259007510005256E-7</v>
      </c>
    </row>
    <row r="270" spans="1:4">
      <c r="A270" s="4"/>
      <c r="B270" s="4" t="s">
        <v>110</v>
      </c>
      <c r="C270" s="39">
        <f t="shared" si="39"/>
        <v>1.1026526537557568E-6</v>
      </c>
      <c r="D270" s="39">
        <f t="shared" si="40"/>
        <v>1.102652653755757E-8</v>
      </c>
    </row>
    <row r="271" spans="1:4">
      <c r="A271" s="4" t="s">
        <v>111</v>
      </c>
      <c r="B271" s="4"/>
      <c r="C271" s="39">
        <f t="shared" si="39"/>
        <v>3.7611955551423358E-4</v>
      </c>
      <c r="D271" s="39">
        <f t="shared" si="40"/>
        <v>3.7611955551423364E-6</v>
      </c>
    </row>
    <row r="272" spans="1:4">
      <c r="A272" s="4" t="s">
        <v>30</v>
      </c>
      <c r="B272" s="4"/>
      <c r="C272" s="39">
        <f t="shared" si="39"/>
        <v>3.7611955551423358E-4</v>
      </c>
      <c r="D272" s="39">
        <f t="shared" si="40"/>
        <v>3.7611955551423364E-6</v>
      </c>
    </row>
    <row r="273" spans="1:4">
      <c r="A273" s="4"/>
      <c r="B273" s="4" t="s">
        <v>31</v>
      </c>
      <c r="C273" s="39">
        <f t="shared" si="39"/>
        <v>2.2797174497895092E-5</v>
      </c>
      <c r="D273" s="39">
        <f t="shared" si="40"/>
        <v>2.2797174497895097E-7</v>
      </c>
    </row>
    <row r="274" spans="1:4">
      <c r="A274" s="4"/>
      <c r="B274" s="4" t="s">
        <v>32</v>
      </c>
      <c r="C274" s="39">
        <f t="shared" si="39"/>
        <v>0</v>
      </c>
      <c r="D274" s="39">
        <f t="shared" si="40"/>
        <v>0</v>
      </c>
    </row>
    <row r="275" spans="1:4">
      <c r="A275" s="4" t="s">
        <v>13</v>
      </c>
      <c r="C275" s="39">
        <f t="shared" si="39"/>
        <v>7.0353298153741532E-5</v>
      </c>
      <c r="D275" s="39">
        <f t="shared" si="40"/>
        <v>7.0353298153741542E-7</v>
      </c>
    </row>
    <row r="276" spans="1:4" s="91" customFormat="1">
      <c r="A276" s="91" t="s">
        <v>18</v>
      </c>
      <c r="C276" s="92">
        <f t="shared" si="39"/>
        <v>7.0353298153741532E-5</v>
      </c>
      <c r="D276" s="92">
        <f t="shared" si="40"/>
        <v>7.0353298153741542E-7</v>
      </c>
    </row>
    <row r="277" spans="1:4" s="91" customFormat="1">
      <c r="A277" s="91" t="s">
        <v>9</v>
      </c>
      <c r="C277" s="92">
        <f t="shared" si="39"/>
        <v>1.0011815506493987E-4</v>
      </c>
      <c r="D277" s="92">
        <f t="shared" si="40"/>
        <v>1.001181550649399E-6</v>
      </c>
    </row>
    <row r="279" spans="1:4" s="113" customFormat="1" ht="12.75">
      <c r="A279" s="44" t="s">
        <v>297</v>
      </c>
      <c r="B279" s="44" t="s">
        <v>252</v>
      </c>
      <c r="C279" s="44"/>
      <c r="D279" s="44"/>
    </row>
    <row r="280" spans="1:4">
      <c r="A280" s="129" t="s">
        <v>149</v>
      </c>
      <c r="B280" s="129" t="s">
        <v>150</v>
      </c>
      <c r="C280" s="130" t="s">
        <v>172</v>
      </c>
      <c r="D280" s="130"/>
    </row>
    <row r="281" spans="1:4">
      <c r="A281" s="129"/>
      <c r="B281" s="129"/>
      <c r="C281" s="76" t="s">
        <v>73</v>
      </c>
      <c r="D281" s="76" t="s">
        <v>74</v>
      </c>
    </row>
    <row r="282" spans="1:4">
      <c r="A282" s="4" t="s">
        <v>33</v>
      </c>
      <c r="B282" s="4"/>
      <c r="C282" s="39">
        <f>C245</f>
        <v>5.8672533920058674E-6</v>
      </c>
      <c r="D282" s="39">
        <f>D245</f>
        <v>5.8672533920058667E-8</v>
      </c>
    </row>
    <row r="283" spans="1:4">
      <c r="A283" s="4"/>
      <c r="B283" s="4" t="s">
        <v>43</v>
      </c>
      <c r="C283" s="39">
        <f>C246</f>
        <v>1.3011221122112216E-5</v>
      </c>
      <c r="D283" s="39">
        <f>D246</f>
        <v>1.3011221122112215E-7</v>
      </c>
    </row>
    <row r="284" spans="1:4">
      <c r="A284" s="4" t="s">
        <v>10</v>
      </c>
      <c r="B284" s="4"/>
      <c r="C284" s="39">
        <f>Other_CDc_cereal*Interim_Cuw_small*Other_Sp_cereal/(365*VLOOKUP($B279,Other_regional_data,7,FALSE)*Other_Fc)</f>
        <v>2.8480967524075116E-2</v>
      </c>
      <c r="D284" s="39">
        <f>Other_CDc_cereal*Interim_Cuw_large*Other_Sp_cereal/(365*VLOOKUP($B279,Other_regional_data,7,FALSE)*Other_Fc)</f>
        <v>2.8480967524075119E-4</v>
      </c>
    </row>
    <row r="285" spans="1:4">
      <c r="A285" s="4" t="s">
        <v>240</v>
      </c>
      <c r="B285" s="4"/>
      <c r="C285" s="39">
        <f t="shared" ref="C285:C314" si="41">VLOOKUP(IF(ISBLANK($A285),$B285,$A285),Radionuclide_specific,9,FALSE)*VLOOKUP($B$279,Interim_regional_data,7,FALSE)</f>
        <v>1.3871962221187111E-3</v>
      </c>
      <c r="D285" s="39">
        <f t="shared" ref="D285:D314" si="42">VLOOKUP(IF(ISBLANK($A285),$B285,$A285),Radionuclide_specific,9,FALSE)*VLOOKUP($B$279,Interim_regional_data,8,FALSE)</f>
        <v>1.3871962221187111E-5</v>
      </c>
    </row>
    <row r="286" spans="1:4">
      <c r="A286" s="4" t="s">
        <v>237</v>
      </c>
      <c r="B286" s="4"/>
      <c r="C286" s="39">
        <f t="shared" si="41"/>
        <v>3.2057993122421686E-4</v>
      </c>
      <c r="D286" s="39">
        <f t="shared" si="42"/>
        <v>3.2057993122421688E-6</v>
      </c>
    </row>
    <row r="287" spans="1:4">
      <c r="A287" s="4" t="s">
        <v>236</v>
      </c>
      <c r="B287" s="4"/>
      <c r="C287" s="39">
        <f t="shared" si="41"/>
        <v>1.9785211532631481E-4</v>
      </c>
      <c r="D287" s="39">
        <f t="shared" si="42"/>
        <v>1.9785211532631483E-6</v>
      </c>
    </row>
    <row r="288" spans="1:4">
      <c r="A288" s="4" t="s">
        <v>11</v>
      </c>
      <c r="B288" s="4"/>
      <c r="C288" s="39">
        <f t="shared" si="41"/>
        <v>3.9421662076295809E-4</v>
      </c>
      <c r="D288" s="39">
        <f t="shared" si="42"/>
        <v>3.942166207629581E-6</v>
      </c>
    </row>
    <row r="289" spans="1:4">
      <c r="A289" s="4" t="s">
        <v>178</v>
      </c>
      <c r="B289" s="4"/>
      <c r="C289" s="39">
        <f t="shared" si="41"/>
        <v>6.7314347507637187E-4</v>
      </c>
      <c r="D289" s="39">
        <f t="shared" si="42"/>
        <v>6.7314347507637193E-6</v>
      </c>
    </row>
    <row r="290" spans="1:4">
      <c r="A290" s="4" t="s">
        <v>17</v>
      </c>
      <c r="B290" s="4"/>
      <c r="C290" s="39">
        <f t="shared" si="41"/>
        <v>2.6367885294428049E-3</v>
      </c>
      <c r="D290" s="39">
        <f t="shared" si="42"/>
        <v>2.6367885294428047E-5</v>
      </c>
    </row>
    <row r="291" spans="1:4">
      <c r="A291" s="4"/>
      <c r="B291" s="4" t="s">
        <v>105</v>
      </c>
      <c r="C291" s="39">
        <f t="shared" si="41"/>
        <v>0</v>
      </c>
      <c r="D291" s="39">
        <f t="shared" si="42"/>
        <v>0</v>
      </c>
    </row>
    <row r="292" spans="1:4">
      <c r="A292" s="4" t="s">
        <v>66</v>
      </c>
      <c r="B292" s="4"/>
      <c r="C292" s="39">
        <f t="shared" si="41"/>
        <v>3.6372061802469152E-5</v>
      </c>
      <c r="D292" s="39">
        <f t="shared" si="42"/>
        <v>3.6372061802469154E-7</v>
      </c>
    </row>
    <row r="293" spans="1:4">
      <c r="A293" s="4"/>
      <c r="B293" s="4" t="s">
        <v>106</v>
      </c>
      <c r="C293" s="39">
        <f t="shared" si="41"/>
        <v>0</v>
      </c>
      <c r="D293" s="39">
        <f t="shared" si="42"/>
        <v>0</v>
      </c>
    </row>
    <row r="294" spans="1:4">
      <c r="A294" s="4" t="s">
        <v>67</v>
      </c>
      <c r="B294" s="4"/>
      <c r="C294" s="39">
        <f t="shared" si="41"/>
        <v>2.2425719086798467E-3</v>
      </c>
      <c r="D294" s="39">
        <f t="shared" si="42"/>
        <v>2.2425719086798468E-5</v>
      </c>
    </row>
    <row r="295" spans="1:4">
      <c r="A295" s="4" t="s">
        <v>239</v>
      </c>
      <c r="B295" s="4"/>
      <c r="C295" s="39">
        <f t="shared" si="41"/>
        <v>1.5694284336034746E-4</v>
      </c>
      <c r="D295" s="39">
        <f t="shared" si="42"/>
        <v>1.5694284336034748E-6</v>
      </c>
    </row>
    <row r="296" spans="1:4">
      <c r="A296" s="4" t="s">
        <v>177</v>
      </c>
      <c r="B296" s="4"/>
      <c r="C296" s="39">
        <f t="shared" si="41"/>
        <v>1.8260411395718153E-3</v>
      </c>
      <c r="D296" s="39">
        <f t="shared" si="42"/>
        <v>1.8260411395718156E-5</v>
      </c>
    </row>
    <row r="297" spans="1:4">
      <c r="A297" s="4" t="s">
        <v>12</v>
      </c>
      <c r="B297" s="4"/>
      <c r="C297" s="39">
        <f t="shared" si="41"/>
        <v>2.1905055625413426E-3</v>
      </c>
      <c r="D297" s="39">
        <f t="shared" si="42"/>
        <v>2.1905055625413429E-5</v>
      </c>
    </row>
    <row r="298" spans="1:4">
      <c r="A298" s="4"/>
      <c r="B298" s="4" t="s">
        <v>107</v>
      </c>
      <c r="C298" s="39">
        <f t="shared" si="41"/>
        <v>2.5289368124416182E-9</v>
      </c>
      <c r="D298" s="39">
        <f t="shared" si="42"/>
        <v>2.5289368124416182E-11</v>
      </c>
    </row>
    <row r="299" spans="1:4">
      <c r="A299" s="4" t="s">
        <v>22</v>
      </c>
      <c r="B299" s="4"/>
      <c r="C299" s="39">
        <f t="shared" si="41"/>
        <v>1.5285191616375073E-4</v>
      </c>
      <c r="D299" s="39">
        <f t="shared" si="42"/>
        <v>1.5285191616375075E-6</v>
      </c>
    </row>
    <row r="300" spans="1:4">
      <c r="A300" s="4" t="s">
        <v>19</v>
      </c>
      <c r="B300" s="4"/>
      <c r="C300" s="39">
        <f t="shared" si="41"/>
        <v>1.837198213744352E-5</v>
      </c>
      <c r="D300" s="39">
        <f t="shared" si="42"/>
        <v>1.837198213744352E-7</v>
      </c>
    </row>
    <row r="301" spans="1:4">
      <c r="A301" s="4" t="s">
        <v>14</v>
      </c>
      <c r="B301" s="4"/>
      <c r="C301" s="39">
        <f t="shared" si="41"/>
        <v>9.7810350245903762E-4</v>
      </c>
      <c r="D301" s="39">
        <f t="shared" si="42"/>
        <v>9.7810350245903769E-6</v>
      </c>
    </row>
    <row r="302" spans="1:4">
      <c r="A302" s="4" t="s">
        <v>156</v>
      </c>
      <c r="B302" s="4"/>
      <c r="C302" s="39">
        <f t="shared" si="41"/>
        <v>2.9491866062738282E-5</v>
      </c>
      <c r="D302" s="39">
        <f t="shared" si="42"/>
        <v>2.949186606273828E-7</v>
      </c>
    </row>
    <row r="303" spans="1:4">
      <c r="A303" s="4" t="s">
        <v>20</v>
      </c>
      <c r="B303" s="4"/>
      <c r="C303" s="39">
        <f t="shared" si="41"/>
        <v>2.9491866062738282E-5</v>
      </c>
      <c r="D303" s="39">
        <f t="shared" si="42"/>
        <v>2.949186606273828E-7</v>
      </c>
    </row>
    <row r="304" spans="1:4">
      <c r="A304" s="4"/>
      <c r="B304" s="4" t="s">
        <v>29</v>
      </c>
      <c r="C304" s="39">
        <f t="shared" si="41"/>
        <v>3.2578656583806727E-4</v>
      </c>
      <c r="D304" s="39">
        <f t="shared" si="42"/>
        <v>3.2578656583806726E-6</v>
      </c>
    </row>
    <row r="305" spans="1:4">
      <c r="A305" s="4"/>
      <c r="B305" s="4" t="s">
        <v>108</v>
      </c>
      <c r="C305" s="39">
        <f t="shared" si="41"/>
        <v>0</v>
      </c>
      <c r="D305" s="39">
        <f t="shared" si="42"/>
        <v>0</v>
      </c>
    </row>
    <row r="306" spans="1:4">
      <c r="A306" s="4"/>
      <c r="B306" s="4" t="s">
        <v>109</v>
      </c>
      <c r="C306" s="39">
        <f t="shared" si="41"/>
        <v>1.9933972521598636E-5</v>
      </c>
      <c r="D306" s="39">
        <f t="shared" si="42"/>
        <v>1.9933972521598638E-7</v>
      </c>
    </row>
    <row r="307" spans="1:4">
      <c r="A307" s="4"/>
      <c r="B307" s="4" t="s">
        <v>110</v>
      </c>
      <c r="C307" s="39">
        <f t="shared" si="41"/>
        <v>6.0620103004115251E-7</v>
      </c>
      <c r="D307" s="39">
        <f t="shared" si="42"/>
        <v>6.0620103004115256E-9</v>
      </c>
    </row>
    <row r="308" spans="1:4">
      <c r="A308" s="4" t="s">
        <v>111</v>
      </c>
      <c r="B308" s="4"/>
      <c r="C308" s="39">
        <f t="shared" si="41"/>
        <v>2.0677777466434407E-4</v>
      </c>
      <c r="D308" s="39">
        <f t="shared" si="42"/>
        <v>2.0677777466434408E-6</v>
      </c>
    </row>
    <row r="309" spans="1:4">
      <c r="A309" s="4" t="s">
        <v>30</v>
      </c>
      <c r="B309" s="4"/>
      <c r="C309" s="39">
        <f t="shared" si="41"/>
        <v>2.0677777466434407E-4</v>
      </c>
      <c r="D309" s="39">
        <f t="shared" si="42"/>
        <v>2.0677777466434408E-6</v>
      </c>
    </row>
    <row r="310" spans="1:4">
      <c r="A310" s="4"/>
      <c r="B310" s="4" t="s">
        <v>31</v>
      </c>
      <c r="C310" s="39">
        <f t="shared" si="41"/>
        <v>1.2533113320482724E-5</v>
      </c>
      <c r="D310" s="39">
        <f t="shared" si="42"/>
        <v>1.2533113320482726E-7</v>
      </c>
    </row>
    <row r="311" spans="1:4">
      <c r="A311" s="4"/>
      <c r="B311" s="4" t="s">
        <v>32</v>
      </c>
      <c r="C311" s="39">
        <f t="shared" si="41"/>
        <v>0</v>
      </c>
      <c r="D311" s="39">
        <f t="shared" si="42"/>
        <v>0</v>
      </c>
    </row>
    <row r="312" spans="1:4">
      <c r="A312" s="4" t="s">
        <v>13</v>
      </c>
      <c r="C312" s="39">
        <f t="shared" si="41"/>
        <v>3.8677857131460042E-5</v>
      </c>
      <c r="D312" s="39">
        <f t="shared" si="42"/>
        <v>3.867785713146004E-7</v>
      </c>
    </row>
    <row r="313" spans="1:4" s="91" customFormat="1">
      <c r="A313" s="91" t="s">
        <v>18</v>
      </c>
      <c r="C313" s="92">
        <f t="shared" si="41"/>
        <v>3.8677857131460042E-5</v>
      </c>
      <c r="D313" s="92">
        <f t="shared" si="42"/>
        <v>3.867785713146004E-7</v>
      </c>
    </row>
    <row r="314" spans="1:4">
      <c r="A314" t="s">
        <v>9</v>
      </c>
      <c r="C314" s="39">
        <f t="shared" si="41"/>
        <v>5.5041565917846978E-5</v>
      </c>
      <c r="D314" s="39">
        <f t="shared" si="42"/>
        <v>5.5041565917846985E-7</v>
      </c>
    </row>
  </sheetData>
  <mergeCells count="33">
    <mergeCell ref="B243:B244"/>
    <mergeCell ref="C243:D243"/>
    <mergeCell ref="C58:D58"/>
    <mergeCell ref="C95:D95"/>
    <mergeCell ref="C132:D132"/>
    <mergeCell ref="C169:D169"/>
    <mergeCell ref="C206:D206"/>
    <mergeCell ref="S10:T10"/>
    <mergeCell ref="G47:H47"/>
    <mergeCell ref="C10:D10"/>
    <mergeCell ref="E10:F10"/>
    <mergeCell ref="G10:H10"/>
    <mergeCell ref="I10:J10"/>
    <mergeCell ref="K10:L10"/>
    <mergeCell ref="C47:D47"/>
    <mergeCell ref="E47:F47"/>
    <mergeCell ref="M10:N10"/>
    <mergeCell ref="A280:A281"/>
    <mergeCell ref="B280:B281"/>
    <mergeCell ref="C280:D280"/>
    <mergeCell ref="O10:P10"/>
    <mergeCell ref="Q10:R10"/>
    <mergeCell ref="A95:A96"/>
    <mergeCell ref="B95:B96"/>
    <mergeCell ref="A132:A133"/>
    <mergeCell ref="B132:B133"/>
    <mergeCell ref="A10:A11"/>
    <mergeCell ref="B10:B11"/>
    <mergeCell ref="A169:A170"/>
    <mergeCell ref="B169:B170"/>
    <mergeCell ref="A206:A207"/>
    <mergeCell ref="B206:B207"/>
    <mergeCell ref="A243:A244"/>
  </mergeCells>
  <phoneticPr fontId="0" type="noConversion"/>
  <hyperlinks>
    <hyperlink ref="A2" location="Status!A1" display="Back to Status tab"/>
  </hyperlinks>
  <pageMargins left="0.23622047244094491" right="0.23622047244094491" top="0.74803149606299213" bottom="0.74803149606299213" header="0.31496062992125984" footer="0.31496062992125984"/>
  <pageSetup paperSize="9" scale="94" fitToHeight="9" orientation="landscape" r:id="rId1"/>
  <headerFooter>
    <oddHeader>&amp;CANNEX A: METHODOLOGY FOR ESTIMATING PUBLIC EXPOSURES DUE TO RADIOACTIVE DISCHARGES</oddHeader>
    <oddFooter>&amp;L&amp;F#&amp;A&amp;CPage &amp;P of &amp;N&amp;RUNSCEAR 2016 Report</oddFooter>
  </headerFooter>
  <rowBreaks count="7" manualBreakCount="7">
    <brk id="45" max="19" man="1"/>
    <brk id="93" max="19" man="1"/>
    <brk id="130" max="19" man="1"/>
    <brk id="167" max="19" man="1"/>
    <brk id="204" max="19" man="1"/>
    <brk id="241" max="19" man="1"/>
    <brk id="278" max="1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P224"/>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1.25"/>
  <cols>
    <col min="1" max="1" width="15.33203125" customWidth="1"/>
    <col min="2" max="2" width="30" customWidth="1"/>
    <col min="17" max="16384" width="9.33203125" style="2"/>
  </cols>
  <sheetData>
    <row r="1" spans="1:16" ht="18.75">
      <c r="A1" s="1" t="s">
        <v>263</v>
      </c>
    </row>
    <row r="2" spans="1:16">
      <c r="A2" s="3" t="s">
        <v>16</v>
      </c>
    </row>
    <row r="4" spans="1:16" s="113" customFormat="1" ht="12.75">
      <c r="A4" s="44" t="s">
        <v>297</v>
      </c>
      <c r="B4" s="44" t="s">
        <v>56</v>
      </c>
      <c r="C4" s="133" t="s">
        <v>153</v>
      </c>
      <c r="D4" s="133"/>
      <c r="E4" s="133"/>
      <c r="F4" s="133"/>
      <c r="G4" s="133"/>
      <c r="H4" s="133"/>
      <c r="I4" s="133"/>
      <c r="J4" s="133"/>
      <c r="K4" s="133" t="s">
        <v>154</v>
      </c>
      <c r="L4" s="133"/>
      <c r="M4" s="133"/>
      <c r="N4" s="133"/>
      <c r="O4" s="133" t="s">
        <v>64</v>
      </c>
      <c r="P4" s="133"/>
    </row>
    <row r="5" spans="1:16">
      <c r="A5" s="129" t="s">
        <v>149</v>
      </c>
      <c r="B5" s="129" t="s">
        <v>150</v>
      </c>
      <c r="C5" s="131" t="s">
        <v>197</v>
      </c>
      <c r="D5" s="131"/>
      <c r="E5" s="132" t="s">
        <v>198</v>
      </c>
      <c r="F5" s="132"/>
      <c r="G5" s="131" t="s">
        <v>199</v>
      </c>
      <c r="H5" s="131"/>
      <c r="I5" s="132" t="s">
        <v>200</v>
      </c>
      <c r="J5" s="132"/>
      <c r="K5" s="131" t="s">
        <v>201</v>
      </c>
      <c r="L5" s="131"/>
      <c r="M5" s="132" t="s">
        <v>202</v>
      </c>
      <c r="N5" s="132"/>
      <c r="O5" s="131" t="s">
        <v>203</v>
      </c>
      <c r="P5" s="131"/>
    </row>
    <row r="6" spans="1:16">
      <c r="A6" s="129"/>
      <c r="B6" s="129"/>
      <c r="C6" s="70" t="s">
        <v>73</v>
      </c>
      <c r="D6" s="70" t="s">
        <v>74</v>
      </c>
      <c r="E6" s="69" t="s">
        <v>73</v>
      </c>
      <c r="F6" s="69" t="s">
        <v>74</v>
      </c>
      <c r="G6" s="70" t="s">
        <v>73</v>
      </c>
      <c r="H6" s="70" t="s">
        <v>74</v>
      </c>
      <c r="I6" s="69" t="s">
        <v>73</v>
      </c>
      <c r="J6" s="69" t="s">
        <v>74</v>
      </c>
      <c r="K6" s="70" t="s">
        <v>73</v>
      </c>
      <c r="L6" s="70" t="s">
        <v>74</v>
      </c>
      <c r="M6" s="69" t="s">
        <v>73</v>
      </c>
      <c r="N6" s="69" t="s">
        <v>74</v>
      </c>
      <c r="O6" s="48" t="s">
        <v>73</v>
      </c>
      <c r="P6" s="48" t="s">
        <v>74</v>
      </c>
    </row>
    <row r="7" spans="1:16">
      <c r="A7" s="4" t="s">
        <v>33</v>
      </c>
      <c r="B7" s="4"/>
      <c r="C7" s="46">
        <f>'Intermediate calcs'!G12*VLOOKUP($B$4,Other_regional_data,2,FALSE)*VLOOKUP(IF(ISBLANK($A7),$B7,$A7),Radionuclide_specific,8,FALSE)*VLOOKUP($B$4,Other_regional_data,8,FALSE)*Other_F_local</f>
        <v>0</v>
      </c>
      <c r="D7" s="46">
        <f>'Intermediate calcs'!H12*VLOOKUP($B$4,Other_regional_data,2,FALSE)*VLOOKUP(IF(ISBLANK($A7),$B7,$A7),Radionuclide_specific,8,FALSE)*VLOOKUP($B$4,Other_regional_data,9,FALSE)*Other_F_local</f>
        <v>7.8356062276426302E-18</v>
      </c>
      <c r="E7" s="47">
        <f>'Intermediate calcs'!I12*VLOOKUP($B$4,Other_regional_data,3,FALSE)*VLOOKUP(IF(ISBLANK($A7),$B7,$A7),Radionuclide_specific,8,FALSE)*VLOOKUP($B$4,Other_regional_data,8,FALSE)*Other_F_local</f>
        <v>0</v>
      </c>
      <c r="F7" s="47">
        <f>'Intermediate calcs'!J12*VLOOKUP($B$4,Other_regional_data,3,FALSE)*VLOOKUP(IF(ISBLANK($A7),$B7,$A7),Radionuclide_specific,8,FALSE)*VLOOKUP($B$4,Other_regional_data,9,FALSE)*Other_F_local</f>
        <v>1.0539035710688065E-16</v>
      </c>
      <c r="G7" s="46">
        <f>C7+E7</f>
        <v>0</v>
      </c>
      <c r="H7" s="46">
        <f>D7+F7</f>
        <v>1.1322596333452329E-16</v>
      </c>
      <c r="I7" s="47">
        <f>'Intermediate calcs'!E12*VLOOKUP(IF(ISBLANK($A7),$B7,$A7),Radionuclide_specific,8,FALSE)*VLOOKUP($B$4,Other_regional_data,4,FALSE)*Other_F_local</f>
        <v>9.4770000000000019E-16</v>
      </c>
      <c r="J7" s="47">
        <f>'Intermediate calcs'!F12*VLOOKUP(IF(ISBLANK($A7),$B7,$A7),Radionuclide_specific,8,FALSE)*VLOOKUP($B$4,Other_regional_data,4,FALSE)*Other_F_local</f>
        <v>9.4769999999999997E-18</v>
      </c>
      <c r="K7" s="46">
        <f t="shared" ref="K7:K39" si="0">Interim_Cuw_small*VLOOKUP(IF(ISBLANK($A7),$B7,$A7),Radionuclide_specific,8,FALSE)*VLOOKUP(IF(ISBLANK($A7),$B7,$A7),Radionuclide_specific,13,FALSE)*Other_I_water*Other_P_river</f>
        <v>9E-13</v>
      </c>
      <c r="L7" s="46">
        <f t="shared" ref="L7:L39" si="1">Interim_Cuw_large*VLOOKUP(IF(ISBLANK($A7),$B7,$A7),Radionuclide_specific,8,FALSE)*VLOOKUP(IF(ISBLANK($A7),$B7,$A7),Radionuclide_specific,13,FALSE)*Other_I_water*Other_P_river</f>
        <v>8.9999999999999995E-15</v>
      </c>
      <c r="M7" s="47">
        <f>'Intermediate calcs'!S12*other_rho_sed*Other_t_sed*VLOOKUP(IF(ISBLANK($A7),$B7,$A7),Radionuclide_specific,7,FALSE)*Other_O_riverbank*Other_F_geom</f>
        <v>0</v>
      </c>
      <c r="N7" s="47">
        <f>'Intermediate calcs'!T12*other_rho_sed*Other_t_sed*VLOOKUP(IF(ISBLANK($A7),$B7,$A7),Radionuclide_specific,7,FALSE)*Other_O_riverbank*Other_F_geom</f>
        <v>0</v>
      </c>
      <c r="O7" s="46">
        <f>G7+I7+K7+M7</f>
        <v>9.009477E-13</v>
      </c>
      <c r="P7" s="46">
        <f>H7+J7+L7+N7</f>
        <v>9.1227029633345221E-15</v>
      </c>
    </row>
    <row r="8" spans="1:16">
      <c r="A8" s="4"/>
      <c r="B8" s="4" t="s">
        <v>43</v>
      </c>
      <c r="C8" s="46">
        <f>'Intermediate calcs'!G13*VLOOKUP($B$4,Other_regional_data,2,FALSE)*VLOOKUP(IF(ISBLANK($A8),$B8,$A8),Radionuclide_specific,8,FALSE)*VLOOKUP($B$4,Other_regional_data,8,FALSE)*Other_F_local</f>
        <v>0</v>
      </c>
      <c r="D8" s="46">
        <f>'Intermediate calcs'!H13*VLOOKUP($B$4,Other_regional_data,2,FALSE)*VLOOKUP(IF(ISBLANK($A8),$B8,$A8),Radionuclide_specific,8,FALSE)*VLOOKUP($B$4,Other_regional_data,9,FALSE)*Other_F_local</f>
        <v>4.0544560864314046E-17</v>
      </c>
      <c r="E8" s="47">
        <f>'Intermediate calcs'!I13*VLOOKUP($B$4,Other_regional_data,3,FALSE)*VLOOKUP(IF(ISBLANK($A8),$B8,$A8),Radionuclide_specific,8,FALSE)*VLOOKUP($B$4,Other_regional_data,8,FALSE)*Other_F_local</f>
        <v>0</v>
      </c>
      <c r="F8" s="47">
        <f>'Intermediate calcs'!J13*VLOOKUP($B$4,Other_regional_data,3,FALSE)*VLOOKUP(IF(ISBLANK($A8),$B8,$A8),Radionuclide_specific,8,FALSE)*VLOOKUP($B$4,Other_regional_data,9,FALSE)*Other_F_local</f>
        <v>5.8890298675549109E-18</v>
      </c>
      <c r="G8" s="46">
        <f t="shared" ref="G8:G39" si="2">C8+E8</f>
        <v>0</v>
      </c>
      <c r="H8" s="46">
        <f t="shared" ref="H8:H39" si="3">D8+F8</f>
        <v>4.6433590731868957E-17</v>
      </c>
      <c r="I8" s="47">
        <f>'Intermediate calcs'!E13*VLOOKUP(IF(ISBLANK($A8),$B8,$A8),Radionuclide_specific,8,FALSE)*VLOOKUP($B$4,Other_regional_data,4,FALSE)*Other_F_local</f>
        <v>2.6756729999999999E-19</v>
      </c>
      <c r="J8" s="47">
        <f>'Intermediate calcs'!F13*VLOOKUP(IF(ISBLANK($A8),$B8,$A8),Radionuclide_specific,8,FALSE)*VLOOKUP($B$4,Other_regional_data,4,FALSE)*Other_F_local</f>
        <v>2.6756729999999995E-21</v>
      </c>
      <c r="K8" s="46">
        <f t="shared" si="0"/>
        <v>2.0999999999999999E-12</v>
      </c>
      <c r="L8" s="46">
        <f t="shared" si="1"/>
        <v>2.0999999999999999E-14</v>
      </c>
      <c r="M8" s="47">
        <f>'Intermediate calcs'!S13*other_rho_sed*Other_t_sed*VLOOKUP(IF(ISBLANK($A8),$B8,$A8),Radionuclide_specific,7,FALSE)*Other_O_riverbank*Other_F_geom</f>
        <v>0</v>
      </c>
      <c r="N8" s="47">
        <f>'Intermediate calcs'!T13*other_rho_sed*Other_t_sed*VLOOKUP(IF(ISBLANK($A8),$B8,$A8),Radionuclide_specific,7,FALSE)*Other_O_riverbank*Other_F_geom</f>
        <v>0</v>
      </c>
      <c r="O8" s="46">
        <f t="shared" ref="O8:O39" si="4">G8+I8+K8+M8</f>
        <v>2.1000002675673E-12</v>
      </c>
      <c r="P8" s="46">
        <f t="shared" ref="P8:P39" si="5">H8+J8+L8+N8</f>
        <v>2.1046436266404869E-14</v>
      </c>
    </row>
    <row r="9" spans="1:16">
      <c r="A9" s="4" t="s">
        <v>10</v>
      </c>
      <c r="B9" s="4"/>
      <c r="C9" s="46">
        <f>'Intermediate calcs'!G14*VLOOKUP($B$4,Other_regional_data,2,FALSE)*VLOOKUP(IF(ISBLANK($A9),$B9,$A9),Radionuclide_specific,8,FALSE)*VLOOKUP($B$4,Other_regional_data,8,FALSE)*Other_F_local</f>
        <v>0</v>
      </c>
      <c r="D9" s="46">
        <f>'Intermediate calcs'!H14*VLOOKUP($B$4,Other_regional_data,2,FALSE)*VLOOKUP(IF(ISBLANK($A9),$B9,$A9),Radionuclide_specific,8,FALSE)*VLOOKUP($B$4,Other_regional_data,9,FALSE)*Other_F_local</f>
        <v>1.5256860255508727E-12</v>
      </c>
      <c r="E9" s="47">
        <f>'Intermediate calcs'!I14*VLOOKUP($B$4,Other_regional_data,3,FALSE)*VLOOKUP(IF(ISBLANK($A9),$B9,$A9),Radionuclide_specific,8,FALSE)*VLOOKUP($B$4,Other_regional_data,8,FALSE)*Other_F_local</f>
        <v>0</v>
      </c>
      <c r="F9" s="47">
        <f>'Intermediate calcs'!J14*VLOOKUP($B$4,Other_regional_data,3,FALSE)*VLOOKUP(IF(ISBLANK($A9),$B9,$A9),Radionuclide_specific,8,FALSE)*VLOOKUP($B$4,Other_regional_data,9,FALSE)*Other_F_local</f>
        <v>2.0589391331727871E-13</v>
      </c>
      <c r="G9" s="46">
        <f t="shared" si="2"/>
        <v>0</v>
      </c>
      <c r="H9" s="46">
        <f t="shared" si="3"/>
        <v>1.7315799388681514E-12</v>
      </c>
      <c r="I9" s="47">
        <f>'Intermediate calcs'!E14*VLOOKUP(IF(ISBLANK($A9),$B9,$A9),Radionuclide_specific,8,FALSE)*VLOOKUP($B$4,Other_regional_data,4,FALSE)*Other_F_local</f>
        <v>1.5658434156584343E-8</v>
      </c>
      <c r="J9" s="47">
        <f>'Intermediate calcs'!F14*VLOOKUP(IF(ISBLANK($A9),$B9,$A9),Radionuclide_specific,8,FALSE)*VLOOKUP($B$4,Other_regional_data,4,FALSE)*Other_F_local</f>
        <v>1.5620947630922697E-10</v>
      </c>
      <c r="K9" s="46">
        <f t="shared" si="0"/>
        <v>2.9E-11</v>
      </c>
      <c r="L9" s="46">
        <f t="shared" si="1"/>
        <v>2.8999999999999998E-13</v>
      </c>
      <c r="M9" s="47">
        <f>'Intermediate calcs'!S14*other_rho_sed*Other_t_sed*VLOOKUP(IF(ISBLANK($A9),$B9,$A9),Radionuclide_specific,7,FALSE)*Other_O_riverbank*Other_F_geom</f>
        <v>1.3688568000000001E-17</v>
      </c>
      <c r="N9" s="47">
        <f>'Intermediate calcs'!T14*other_rho_sed*Other_t_sed*VLOOKUP(IF(ISBLANK($A9),$B9,$A9),Radionuclide_specific,7,FALSE)*Other_O_riverbank*Other_F_geom</f>
        <v>1.3661136000000002E-19</v>
      </c>
      <c r="O9" s="46">
        <f t="shared" si="4"/>
        <v>1.5687434170272912E-8</v>
      </c>
      <c r="P9" s="46">
        <f t="shared" si="5"/>
        <v>1.582310563847065E-10</v>
      </c>
    </row>
    <row r="10" spans="1:16">
      <c r="A10" s="4" t="s">
        <v>240</v>
      </c>
      <c r="B10" s="4"/>
      <c r="C10" s="46">
        <f>'Intermediate calcs'!G15*VLOOKUP($B$4,Other_regional_data,2,FALSE)*VLOOKUP(IF(ISBLANK($A10),$B10,$A10),Radionuclide_specific,8,FALSE)*VLOOKUP($B$4,Other_regional_data,8,FALSE)*Other_F_local</f>
        <v>0</v>
      </c>
      <c r="D10" s="46">
        <f>'Intermediate calcs'!H15*VLOOKUP($B$4,Other_regional_data,2,FALSE)*VLOOKUP(IF(ISBLANK($A10),$B10,$A10),Radionuclide_specific,8,FALSE)*VLOOKUP($B$4,Other_regional_data,9,FALSE)*Other_F_local</f>
        <v>4.0542399923081695E-14</v>
      </c>
      <c r="E10" s="47">
        <f>'Intermediate calcs'!I15*VLOOKUP($B$4,Other_regional_data,3,FALSE)*VLOOKUP(IF(ISBLANK($A10),$B10,$A10),Radionuclide_specific,8,FALSE)*VLOOKUP($B$4,Other_regional_data,8,FALSE)*Other_F_local</f>
        <v>0</v>
      </c>
      <c r="F10" s="47">
        <f>'Intermediate calcs'!J15*VLOOKUP($B$4,Other_regional_data,3,FALSE)*VLOOKUP(IF(ISBLANK($A10),$B10,$A10),Radionuclide_specific,8,FALSE)*VLOOKUP($B$4,Other_regional_data,9,FALSE)*Other_F_local</f>
        <v>2.3454567285234403E-14</v>
      </c>
      <c r="G10" s="46">
        <f t="shared" si="2"/>
        <v>0</v>
      </c>
      <c r="H10" s="46">
        <f t="shared" si="3"/>
        <v>6.3996967208316104E-14</v>
      </c>
      <c r="I10" s="47">
        <f>'Intermediate calcs'!E15*VLOOKUP(IF(ISBLANK($A10),$B10,$A10),Radionuclide_specific,8,FALSE)*VLOOKUP($B$4,Other_regional_data,4,FALSE)*Other_F_local</f>
        <v>4.1414342629482076E-11</v>
      </c>
      <c r="J10" s="47">
        <f>'Intermediate calcs'!F15*VLOOKUP(IF(ISBLANK($A10),$B10,$A10),Radionuclide_specific,8,FALSE)*VLOOKUP($B$4,Other_regional_data,4,FALSE)*Other_F_local</f>
        <v>3.7800000000000006E-13</v>
      </c>
      <c r="K10" s="46">
        <f t="shared" si="0"/>
        <v>2.0790000000000003E-11</v>
      </c>
      <c r="L10" s="46">
        <f t="shared" si="1"/>
        <v>2.0790000000000003E-13</v>
      </c>
      <c r="M10" s="47">
        <f>'Intermediate calcs'!S15*other_rho_sed*Other_t_sed*VLOOKUP(IF(ISBLANK($A10),$B10,$A10),Radionuclide_specific,7,FALSE)*Other_O_riverbank*Other_F_geom</f>
        <v>5.7168720000000014E-16</v>
      </c>
      <c r="N10" s="47">
        <f>'Intermediate calcs'!T15*other_rho_sed*Other_t_sed*VLOOKUP(IF(ISBLANK($A10),$B10,$A10),Radionuclide_specific,7,FALSE)*Other_O_riverbank*Other_F_geom</f>
        <v>5.2284960000000007E-18</v>
      </c>
      <c r="O10" s="46">
        <f t="shared" si="4"/>
        <v>6.2204914316682086E-11</v>
      </c>
      <c r="P10" s="46">
        <f t="shared" si="5"/>
        <v>6.4990219570431622E-13</v>
      </c>
    </row>
    <row r="11" spans="1:16">
      <c r="A11" s="4" t="s">
        <v>237</v>
      </c>
      <c r="B11" s="4"/>
      <c r="C11" s="46">
        <f>'Intermediate calcs'!G16*VLOOKUP($B$4,Other_regional_data,2,FALSE)*VLOOKUP(IF(ISBLANK($A11),$B11,$A11),Radionuclide_specific,8,FALSE)*VLOOKUP($B$4,Other_regional_data,8,FALSE)*Other_F_local</f>
        <v>0</v>
      </c>
      <c r="D11" s="46">
        <f>'Intermediate calcs'!H16*VLOOKUP($B$4,Other_regional_data,2,FALSE)*VLOOKUP(IF(ISBLANK($A11),$B11,$A11),Radionuclide_specific,8,FALSE)*VLOOKUP($B$4,Other_regional_data,9,FALSE)*Other_F_local</f>
        <v>8.6392394418455003E-15</v>
      </c>
      <c r="E11" s="47">
        <f>'Intermediate calcs'!I16*VLOOKUP($B$4,Other_regional_data,3,FALSE)*VLOOKUP(IF(ISBLANK($A11),$B11,$A11),Radionuclide_specific,8,FALSE)*VLOOKUP($B$4,Other_regional_data,8,FALSE)*Other_F_local</f>
        <v>0</v>
      </c>
      <c r="F11" s="47">
        <f>'Intermediate calcs'!J16*VLOOKUP($B$4,Other_regional_data,3,FALSE)*VLOOKUP(IF(ISBLANK($A11),$B11,$A11),Radionuclide_specific,8,FALSE)*VLOOKUP($B$4,Other_regional_data,9,FALSE)*Other_F_local</f>
        <v>2.2681911283440176E-14</v>
      </c>
      <c r="G11" s="46">
        <f t="shared" ref="G11" si="6">C11+E11</f>
        <v>0</v>
      </c>
      <c r="H11" s="46">
        <f t="shared" ref="H11" si="7">D11+F11</f>
        <v>3.1321150725285678E-14</v>
      </c>
      <c r="I11" s="47">
        <f>'Intermediate calcs'!E16*VLOOKUP(IF(ISBLANK($A11),$B11,$A11),Radionuclide_specific,8,FALSE)*VLOOKUP($B$4,Other_regional_data,4,FALSE)*Other_F_local</f>
        <v>4.4581395348837214E-12</v>
      </c>
      <c r="J11" s="47">
        <f>'Intermediate calcs'!F16*VLOOKUP(IF(ISBLANK($A11),$B11,$A11),Radionuclide_specific,8,FALSE)*VLOOKUP($B$4,Other_regional_data,4,FALSE)*Other_F_local</f>
        <v>2.8400000000000004E-15</v>
      </c>
      <c r="K11" s="46">
        <f t="shared" si="0"/>
        <v>1.2780000000000002E-11</v>
      </c>
      <c r="L11" s="46">
        <f t="shared" si="1"/>
        <v>1.278E-13</v>
      </c>
      <c r="M11" s="47">
        <f>'Intermediate calcs'!S16*other_rho_sed*Other_t_sed*VLOOKUP(IF(ISBLANK($A11),$B11,$A11),Radionuclide_specific,7,FALSE)*Other_O_riverbank*Other_F_geom</f>
        <v>5.2281936000000011E-9</v>
      </c>
      <c r="N11" s="47">
        <f>'Intermediate calcs'!T16*other_rho_sed*Other_t_sed*VLOOKUP(IF(ISBLANK($A11),$B11,$A11),Radionuclide_specific,7,FALSE)*Other_O_riverbank*Other_F_geom</f>
        <v>3.3316920000000003E-12</v>
      </c>
      <c r="O11" s="46">
        <f t="shared" ref="O11" si="8">G11+I11+K11+M11</f>
        <v>5.2454317395348851E-9</v>
      </c>
      <c r="P11" s="46">
        <f t="shared" ref="P11" si="9">H11+J11+L11+N11</f>
        <v>3.4936531507252859E-12</v>
      </c>
    </row>
    <row r="12" spans="1:16">
      <c r="A12" s="4" t="s">
        <v>236</v>
      </c>
      <c r="B12" s="4"/>
      <c r="C12" s="46">
        <f>'Intermediate calcs'!G17*VLOOKUP($B$4,Other_regional_data,2,FALSE)*VLOOKUP(IF(ISBLANK($A12),$B12,$A12),Radionuclide_specific,8,FALSE)*VLOOKUP($B$4,Other_regional_data,8,FALSE)*Other_F_local</f>
        <v>0</v>
      </c>
      <c r="D12" s="46">
        <f>'Intermediate calcs'!H17*VLOOKUP($B$4,Other_regional_data,2,FALSE)*VLOOKUP(IF(ISBLANK($A12),$B12,$A12),Radionuclide_specific,8,FALSE)*VLOOKUP($B$4,Other_regional_data,9,FALSE)*Other_F_local</f>
        <v>5.5571644447334018E-15</v>
      </c>
      <c r="E12" s="47">
        <f>'Intermediate calcs'!I17*VLOOKUP($B$4,Other_regional_data,3,FALSE)*VLOOKUP(IF(ISBLANK($A12),$B12,$A12),Radionuclide_specific,8,FALSE)*VLOOKUP($B$4,Other_regional_data,8,FALSE)*Other_F_local</f>
        <v>0</v>
      </c>
      <c r="F12" s="47">
        <f>'Intermediate calcs'!J17*VLOOKUP($B$4,Other_regional_data,3,FALSE)*VLOOKUP(IF(ISBLANK($A12),$B12,$A12),Radionuclide_specific,8,FALSE)*VLOOKUP($B$4,Other_regional_data,9,FALSE)*Other_F_local</f>
        <v>1.6969705085560155E-14</v>
      </c>
      <c r="G12" s="46">
        <f t="shared" ref="G12" si="10">C12+E12</f>
        <v>0</v>
      </c>
      <c r="H12" s="46">
        <f t="shared" ref="H12" si="11">D12+F12</f>
        <v>2.2526869530293557E-14</v>
      </c>
      <c r="I12" s="47">
        <f>'Intermediate calcs'!E17*VLOOKUP(IF(ISBLANK($A12),$B12,$A12),Radionuclide_specific,8,FALSE)*VLOOKUP($B$4,Other_regional_data,4,FALSE)*Other_F_local</f>
        <v>2.0192553191489361E-12</v>
      </c>
      <c r="J12" s="47">
        <f>'Intermediate calcs'!F17*VLOOKUP(IF(ISBLANK($A12),$B12,$A12),Radionuclide_specific,8,FALSE)*VLOOKUP($B$4,Other_regional_data,4,FALSE)*Other_F_local</f>
        <v>1.650521739130435E-15</v>
      </c>
      <c r="K12" s="46">
        <f t="shared" si="0"/>
        <v>1.9980000000000002E-11</v>
      </c>
      <c r="L12" s="46">
        <f t="shared" si="1"/>
        <v>1.9980000000000004E-13</v>
      </c>
      <c r="M12" s="47">
        <f>'Intermediate calcs'!S17*other_rho_sed*Other_t_sed*VLOOKUP(IF(ISBLANK($A12),$B12,$A12),Radionuclide_specific,7,FALSE)*Other_O_riverbank*Other_F_geom</f>
        <v>4.655340000000001E-9</v>
      </c>
      <c r="N12" s="47">
        <f>'Intermediate calcs'!T17*other_rho_sed*Other_t_sed*VLOOKUP(IF(ISBLANK($A12),$B12,$A12),Radionuclide_specific,7,FALSE)*Other_O_riverbank*Other_F_geom</f>
        <v>3.8161800000000004E-12</v>
      </c>
      <c r="O12" s="46">
        <f t="shared" ref="O12" si="12">G12+I12+K12+M12</f>
        <v>4.6773392553191503E-9</v>
      </c>
      <c r="P12" s="46">
        <f t="shared" ref="P12" si="13">H12+J12+L12+N12</f>
        <v>4.0401573912694246E-12</v>
      </c>
    </row>
    <row r="13" spans="1:16">
      <c r="A13" s="4" t="s">
        <v>11</v>
      </c>
      <c r="B13" s="4"/>
      <c r="C13" s="46">
        <f>'Intermediate calcs'!G18*VLOOKUP($B$4,Other_regional_data,2,FALSE)*VLOOKUP(IF(ISBLANK($A13),$B13,$A13),Radionuclide_specific,8,FALSE)*VLOOKUP($B$4,Other_regional_data,8,FALSE)*Other_F_local</f>
        <v>0</v>
      </c>
      <c r="D13" s="46">
        <f>'Intermediate calcs'!H18*VLOOKUP($B$4,Other_regional_data,2,FALSE)*VLOOKUP(IF(ISBLANK($A13),$B13,$A13),Radionuclide_specific,8,FALSE)*VLOOKUP($B$4,Other_regional_data,9,FALSE)*Other_F_local</f>
        <v>5.0873858613135488E-14</v>
      </c>
      <c r="E13" s="47">
        <f>'Intermediate calcs'!I18*VLOOKUP($B$4,Other_regional_data,3,FALSE)*VLOOKUP(IF(ISBLANK($A13),$B13,$A13),Radionuclide_specific,8,FALSE)*VLOOKUP($B$4,Other_regional_data,8,FALSE)*Other_F_local</f>
        <v>0</v>
      </c>
      <c r="F13" s="47">
        <f>'Intermediate calcs'!J18*VLOOKUP($B$4,Other_regional_data,3,FALSE)*VLOOKUP(IF(ISBLANK($A13),$B13,$A13),Radionuclide_specific,8,FALSE)*VLOOKUP($B$4,Other_regional_data,9,FALSE)*Other_F_local</f>
        <v>1.2545754182979356E-13</v>
      </c>
      <c r="G13" s="46">
        <f t="shared" si="2"/>
        <v>0</v>
      </c>
      <c r="H13" s="46">
        <f t="shared" si="3"/>
        <v>1.7633140044292903E-13</v>
      </c>
      <c r="I13" s="47">
        <f>'Intermediate calcs'!E18*VLOOKUP(IF(ISBLANK($A13),$B13,$A13),Radionuclide_specific,8,FALSE)*VLOOKUP($B$4,Other_regional_data,4,FALSE)*Other_F_local</f>
        <v>9.2776595744680853E-12</v>
      </c>
      <c r="J13" s="47">
        <f>'Intermediate calcs'!F18*VLOOKUP(IF(ISBLANK($A13),$B13,$A13),Radionuclide_specific,8,FALSE)*VLOOKUP($B$4,Other_regional_data,4,FALSE)*Other_F_local</f>
        <v>7.5834782608695656E-15</v>
      </c>
      <c r="K13" s="46">
        <f t="shared" si="0"/>
        <v>9.1800000000000009E-11</v>
      </c>
      <c r="L13" s="46">
        <f t="shared" si="1"/>
        <v>9.1800000000000013E-13</v>
      </c>
      <c r="M13" s="47">
        <f>'Intermediate calcs'!S18*other_rho_sed*Other_t_sed*VLOOKUP(IF(ISBLANK($A13),$B13,$A13),Radionuclide_specific,7,FALSE)*Other_O_riverbank*Other_F_geom</f>
        <v>1.162512E-8</v>
      </c>
      <c r="N13" s="47">
        <f>'Intermediate calcs'!T18*other_rho_sed*Other_t_sed*VLOOKUP(IF(ISBLANK($A13),$B13,$A13),Radionuclide_specific,7,FALSE)*Other_O_riverbank*Other_F_geom</f>
        <v>9.4888800000000007E-12</v>
      </c>
      <c r="O13" s="46">
        <f t="shared" si="4"/>
        <v>1.1726197659574468E-8</v>
      </c>
      <c r="P13" s="46">
        <f t="shared" si="5"/>
        <v>1.05907948787038E-11</v>
      </c>
    </row>
    <row r="14" spans="1:16">
      <c r="A14" s="4" t="s">
        <v>178</v>
      </c>
      <c r="B14" s="4"/>
      <c r="C14" s="46">
        <f>'Intermediate calcs'!G19*VLOOKUP($B$4,Other_regional_data,2,FALSE)*VLOOKUP(IF(ISBLANK($A14),$B14,$A14),Radionuclide_specific,8,FALSE)*VLOOKUP($B$4,Other_regional_data,8,FALSE)*Other_F_local</f>
        <v>0</v>
      </c>
      <c r="D14" s="46">
        <f>'Intermediate calcs'!H19*VLOOKUP($B$4,Other_regional_data,2,FALSE)*VLOOKUP(IF(ISBLANK($A14),$B14,$A14),Radionuclide_specific,8,FALSE)*VLOOKUP($B$4,Other_regional_data,9,FALSE)*Other_F_local</f>
        <v>9.9644441717570341E-14</v>
      </c>
      <c r="E14" s="47">
        <f>'Intermediate calcs'!I19*VLOOKUP($B$4,Other_regional_data,3,FALSE)*VLOOKUP(IF(ISBLANK($A14),$B14,$A14),Radionuclide_specific,8,FALSE)*VLOOKUP($B$4,Other_regional_data,8,FALSE)*Other_F_local</f>
        <v>0</v>
      </c>
      <c r="F14" s="47">
        <f>'Intermediate calcs'!J19*VLOOKUP($B$4,Other_regional_data,3,FALSE)*VLOOKUP(IF(ISBLANK($A14),$B14,$A14),Radionuclide_specific,8,FALSE)*VLOOKUP($B$4,Other_regional_data,9,FALSE)*Other_F_local</f>
        <v>2.1441204049789831E-13</v>
      </c>
      <c r="G14" s="46">
        <f t="shared" ref="G14" si="14">C14+E14</f>
        <v>0</v>
      </c>
      <c r="H14" s="46">
        <f t="shared" ref="H14" si="15">D14+F14</f>
        <v>3.1405648221546868E-13</v>
      </c>
      <c r="I14" s="47">
        <f>'Intermediate calcs'!E19*VLOOKUP(IF(ISBLANK($A14),$B14,$A14),Radionuclide_specific,8,FALSE)*VLOOKUP($B$4,Other_regional_data,4,FALSE)*Other_F_local</f>
        <v>8.8618811881188132E-10</v>
      </c>
      <c r="J14" s="47">
        <f>'Intermediate calcs'!F19*VLOOKUP(IF(ISBLANK($A14),$B14,$A14),Radionuclide_specific,8,FALSE)*VLOOKUP($B$4,Other_regional_data,4,FALSE)*Other_F_local</f>
        <v>7.1604000000000017E-12</v>
      </c>
      <c r="K14" s="46">
        <f t="shared" si="0"/>
        <v>1.0530000000000001E-10</v>
      </c>
      <c r="L14" s="46">
        <f t="shared" si="1"/>
        <v>1.0530000000000001E-12</v>
      </c>
      <c r="M14" s="47">
        <f>'Intermediate calcs'!S19*other_rho_sed*Other_t_sed*VLOOKUP(IF(ISBLANK($A14),$B14,$A14),Radionuclide_specific,7,FALSE)*Other_O_riverbank*Other_F_geom</f>
        <v>5.7726864000000016E-11</v>
      </c>
      <c r="N14" s="47">
        <f>'Intermediate calcs'!T19*other_rho_sed*Other_t_sed*VLOOKUP(IF(ISBLANK($A14),$B14,$A14),Radionuclide_specific,7,FALSE)*Other_O_riverbank*Other_F_geom</f>
        <v>4.6625544000000009E-13</v>
      </c>
      <c r="O14" s="46">
        <f t="shared" ref="O14" si="16">G14+I14+K14+M14</f>
        <v>1.0492149828118814E-9</v>
      </c>
      <c r="P14" s="46">
        <f t="shared" ref="P14" si="17">H14+J14+L14+N14</f>
        <v>8.9937119222154701E-12</v>
      </c>
    </row>
    <row r="15" spans="1:16">
      <c r="A15" s="4" t="s">
        <v>17</v>
      </c>
      <c r="B15" s="4"/>
      <c r="C15" s="46">
        <f>'Intermediate calcs'!G20*VLOOKUP($B$4,Other_regional_data,2,FALSE)*VLOOKUP(IF(ISBLANK($A15),$B15,$A15),Radionuclide_specific,8,FALSE)*VLOOKUP($B$4,Other_regional_data,8,FALSE)*Other_F_local</f>
        <v>0</v>
      </c>
      <c r="D15" s="46">
        <f>'Intermediate calcs'!H20*VLOOKUP($B$4,Other_regional_data,2,FALSE)*VLOOKUP(IF(ISBLANK($A15),$B15,$A15),Radionuclide_specific,8,FALSE)*VLOOKUP($B$4,Other_regional_data,9,FALSE)*Other_F_local</f>
        <v>2.8022970066258768E-12</v>
      </c>
      <c r="E15" s="47">
        <f>'Intermediate calcs'!I20*VLOOKUP($B$4,Other_regional_data,3,FALSE)*VLOOKUP(IF(ISBLANK($A15),$B15,$A15),Radionuclide_specific,8,FALSE)*VLOOKUP($B$4,Other_regional_data,8,FALSE)*Other_F_local</f>
        <v>0</v>
      </c>
      <c r="F15" s="47">
        <f>'Intermediate calcs'!J20*VLOOKUP($B$4,Other_regional_data,3,FALSE)*VLOOKUP(IF(ISBLANK($A15),$B15,$A15),Radionuclide_specific,8,FALSE)*VLOOKUP($B$4,Other_regional_data,9,FALSE)*Other_F_local</f>
        <v>5.027216934750908E-12</v>
      </c>
      <c r="G15" s="46">
        <f t="shared" si="2"/>
        <v>0</v>
      </c>
      <c r="H15" s="46">
        <f t="shared" si="3"/>
        <v>7.8295139413767852E-12</v>
      </c>
      <c r="I15" s="47">
        <f>'Intermediate calcs'!E20*VLOOKUP(IF(ISBLANK($A15),$B15,$A15),Radionuclide_specific,8,FALSE)*VLOOKUP($B$4,Other_regional_data,4,FALSE)*Other_F_local</f>
        <v>5.3525390624999996E-12</v>
      </c>
      <c r="J15" s="47">
        <f>'Intermediate calcs'!F20*VLOOKUP(IF(ISBLANK($A15),$B15,$A15),Radionuclide_specific,8,FALSE)*VLOOKUP($B$4,Other_regional_data,4,FALSE)*Other_F_local</f>
        <v>3.4256249999999997E-14</v>
      </c>
      <c r="K15" s="46">
        <f t="shared" si="0"/>
        <v>1.1340000000000002E-9</v>
      </c>
      <c r="L15" s="46">
        <f t="shared" si="1"/>
        <v>1.1340000000000001E-11</v>
      </c>
      <c r="M15" s="47">
        <f>'Intermediate calcs'!S20*other_rho_sed*Other_t_sed*VLOOKUP(IF(ISBLANK($A15),$B15,$A15),Radionuclide_specific,7,FALSE)*Other_O_riverbank*Other_F_geom</f>
        <v>4.1446080000000009E-13</v>
      </c>
      <c r="N15" s="47">
        <f>'Intermediate calcs'!T20*other_rho_sed*Other_t_sed*VLOOKUP(IF(ISBLANK($A15),$B15,$A15),Radionuclide_specific,7,FALSE)*Other_O_riverbank*Other_F_geom</f>
        <v>2.6532576000000005E-15</v>
      </c>
      <c r="O15" s="46">
        <f t="shared" si="4"/>
        <v>1.1397669998625004E-9</v>
      </c>
      <c r="P15" s="46">
        <f t="shared" si="5"/>
        <v>1.9206423448976787E-11</v>
      </c>
    </row>
    <row r="16" spans="1:16">
      <c r="A16" s="4"/>
      <c r="B16" s="4" t="s">
        <v>105</v>
      </c>
      <c r="C16" s="46">
        <f>'Intermediate calcs'!G21*VLOOKUP($B$4,Other_regional_data,2,FALSE)*VLOOKUP(IF(ISBLANK($A16),$B16,$A16),Radionuclide_specific,8,FALSE)*VLOOKUP($B$4,Other_regional_data,8,FALSE)*Other_F_local</f>
        <v>0</v>
      </c>
      <c r="D16" s="46">
        <f>'Intermediate calcs'!H21*VLOOKUP($B$4,Other_regional_data,2,FALSE)*VLOOKUP(IF(ISBLANK($A16),$B16,$A16),Radionuclide_specific,8,FALSE)*VLOOKUP($B$4,Other_regional_data,9,FALSE)*Other_F_local</f>
        <v>0</v>
      </c>
      <c r="E16" s="47">
        <f>'Intermediate calcs'!I21*VLOOKUP($B$4,Other_regional_data,3,FALSE)*VLOOKUP(IF(ISBLANK($A16),$B16,$A16),Radionuclide_specific,8,FALSE)*VLOOKUP($B$4,Other_regional_data,8,FALSE)*Other_F_local</f>
        <v>0</v>
      </c>
      <c r="F16" s="47">
        <f>'Intermediate calcs'!J21*VLOOKUP($B$4,Other_regional_data,3,FALSE)*VLOOKUP(IF(ISBLANK($A16),$B16,$A16),Radionuclide_specific,8,FALSE)*VLOOKUP($B$4,Other_regional_data,9,FALSE)*Other_F_local</f>
        <v>0</v>
      </c>
      <c r="G16" s="46">
        <f t="shared" si="2"/>
        <v>0</v>
      </c>
      <c r="H16" s="46">
        <f t="shared" si="3"/>
        <v>0</v>
      </c>
      <c r="I16" s="47">
        <f>'Intermediate calcs'!E21*VLOOKUP(IF(ISBLANK($A16),$B16,$A16),Radionuclide_specific,8,FALSE)*VLOOKUP($B$4,Other_regional_data,4,FALSE)*Other_F_local</f>
        <v>0</v>
      </c>
      <c r="J16" s="47">
        <f>'Intermediate calcs'!F21*VLOOKUP(IF(ISBLANK($A16),$B16,$A16),Radionuclide_specific,8,FALSE)*VLOOKUP($B$4,Other_regional_data,4,FALSE)*Other_F_local</f>
        <v>0</v>
      </c>
      <c r="K16" s="46">
        <f t="shared" si="0"/>
        <v>0</v>
      </c>
      <c r="L16" s="46">
        <f t="shared" si="1"/>
        <v>0</v>
      </c>
      <c r="M16" s="47">
        <f>'Intermediate calcs'!S21*other_rho_sed*Other_t_sed*VLOOKUP(IF(ISBLANK($A16),$B16,$A16),Radionuclide_specific,7,FALSE)*Other_O_riverbank*Other_F_geom</f>
        <v>2.7799200000000001E-11</v>
      </c>
      <c r="N16" s="47">
        <f>'Intermediate calcs'!T21*other_rho_sed*Other_t_sed*VLOOKUP(IF(ISBLANK($A16),$B16,$A16),Radionuclide_specific,7,FALSE)*Other_O_riverbank*Other_F_geom</f>
        <v>1.7796240000000005E-13</v>
      </c>
      <c r="O16" s="46">
        <f t="shared" si="4"/>
        <v>2.7799200000000001E-11</v>
      </c>
      <c r="P16" s="46">
        <f t="shared" si="5"/>
        <v>1.7796240000000005E-13</v>
      </c>
    </row>
    <row r="17" spans="1:16">
      <c r="A17" s="4" t="s">
        <v>66</v>
      </c>
      <c r="B17" s="4"/>
      <c r="C17" s="46">
        <f>'Intermediate calcs'!G22*VLOOKUP($B$4,Other_regional_data,2,FALSE)*VLOOKUP(IF(ISBLANK($A17),$B17,$A17),Radionuclide_specific,8,FALSE)*VLOOKUP($B$4,Other_regional_data,8,FALSE)*Other_F_local</f>
        <v>0</v>
      </c>
      <c r="D17" s="46">
        <f>'Intermediate calcs'!H22*VLOOKUP($B$4,Other_regional_data,2,FALSE)*VLOOKUP(IF(ISBLANK($A17),$B17,$A17),Radionuclide_specific,8,FALSE)*VLOOKUP($B$4,Other_regional_data,9,FALSE)*Other_F_local</f>
        <v>9.6637745856139164E-15</v>
      </c>
      <c r="E17" s="47">
        <f>'Intermediate calcs'!I22*VLOOKUP($B$4,Other_regional_data,3,FALSE)*VLOOKUP(IF(ISBLANK($A17),$B17,$A17),Radionuclide_specific,8,FALSE)*VLOOKUP($B$4,Other_regional_data,8,FALSE)*Other_F_local</f>
        <v>0</v>
      </c>
      <c r="F17" s="47">
        <f>'Intermediate calcs'!J22*VLOOKUP($B$4,Other_regional_data,3,FALSE)*VLOOKUP(IF(ISBLANK($A17),$B17,$A17),Radionuclide_specific,8,FALSE)*VLOOKUP($B$4,Other_regional_data,9,FALSE)*Other_F_local</f>
        <v>1.8028640041865323E-13</v>
      </c>
      <c r="G17" s="46">
        <f t="shared" si="2"/>
        <v>0</v>
      </c>
      <c r="H17" s="46">
        <f t="shared" si="3"/>
        <v>1.8995017500426713E-13</v>
      </c>
      <c r="I17" s="47">
        <f>'Intermediate calcs'!E22*VLOOKUP(IF(ISBLANK($A17),$B17,$A17),Radionuclide_specific,8,FALSE)*VLOOKUP($B$4,Other_regional_data,4,FALSE)*Other_F_local</f>
        <v>1.5846036585365852E-11</v>
      </c>
      <c r="J17" s="47">
        <f>'Intermediate calcs'!F22*VLOOKUP(IF(ISBLANK($A17),$B17,$A17),Radionuclide_specific,8,FALSE)*VLOOKUP($B$4,Other_regional_data,4,FALSE)*Other_F_local</f>
        <v>1.5286764705882355E-14</v>
      </c>
      <c r="K17" s="46">
        <f t="shared" si="0"/>
        <v>1.8900000000000002E-10</v>
      </c>
      <c r="L17" s="46">
        <f t="shared" si="1"/>
        <v>1.8900000000000002E-12</v>
      </c>
      <c r="M17" s="47">
        <f>'Intermediate calcs'!S22*other_rho_sed*Other_t_sed*VLOOKUP(IF(ISBLANK($A17),$B17,$A17),Radionuclide_specific,7,FALSE)*Other_O_riverbank*Other_F_geom</f>
        <v>0</v>
      </c>
      <c r="N17" s="47">
        <f>'Intermediate calcs'!T22*other_rho_sed*Other_t_sed*VLOOKUP(IF(ISBLANK($A17),$B17,$A17),Radionuclide_specific,7,FALSE)*Other_O_riverbank*Other_F_geom</f>
        <v>0</v>
      </c>
      <c r="O17" s="46">
        <f t="shared" si="4"/>
        <v>2.0484603658536587E-10</v>
      </c>
      <c r="P17" s="46">
        <f t="shared" si="5"/>
        <v>2.0952369397101496E-12</v>
      </c>
    </row>
    <row r="18" spans="1:16">
      <c r="A18" s="4"/>
      <c r="B18" s="4" t="s">
        <v>106</v>
      </c>
      <c r="C18" s="46">
        <f>'Intermediate calcs'!G23*VLOOKUP($B$4,Other_regional_data,2,FALSE)*VLOOKUP(IF(ISBLANK($A18),$B18,$A18),Radionuclide_specific,8,FALSE)*VLOOKUP($B$4,Other_regional_data,8,FALSE)*Other_F_local</f>
        <v>0</v>
      </c>
      <c r="D18" s="46">
        <f>'Intermediate calcs'!H23*VLOOKUP($B$4,Other_regional_data,2,FALSE)*VLOOKUP(IF(ISBLANK($A18),$B18,$A18),Radionuclide_specific,8,FALSE)*VLOOKUP($B$4,Other_regional_data,9,FALSE)*Other_F_local</f>
        <v>0</v>
      </c>
      <c r="E18" s="47">
        <f>'Intermediate calcs'!I23*VLOOKUP($B$4,Other_regional_data,3,FALSE)*VLOOKUP(IF(ISBLANK($A18),$B18,$A18),Radionuclide_specific,8,FALSE)*VLOOKUP($B$4,Other_regional_data,8,FALSE)*Other_F_local</f>
        <v>0</v>
      </c>
      <c r="F18" s="47">
        <f>'Intermediate calcs'!J23*VLOOKUP($B$4,Other_regional_data,3,FALSE)*VLOOKUP(IF(ISBLANK($A18),$B18,$A18),Radionuclide_specific,8,FALSE)*VLOOKUP($B$4,Other_regional_data,9,FALSE)*Other_F_local</f>
        <v>0</v>
      </c>
      <c r="G18" s="46">
        <f t="shared" si="2"/>
        <v>0</v>
      </c>
      <c r="H18" s="46">
        <f t="shared" si="3"/>
        <v>0</v>
      </c>
      <c r="I18" s="47">
        <f>'Intermediate calcs'!E23*VLOOKUP(IF(ISBLANK($A18),$B18,$A18),Radionuclide_specific,8,FALSE)*VLOOKUP($B$4,Other_regional_data,4,FALSE)*Other_F_local</f>
        <v>0</v>
      </c>
      <c r="J18" s="47">
        <f>'Intermediate calcs'!F23*VLOOKUP(IF(ISBLANK($A18),$B18,$A18),Radionuclide_specific,8,FALSE)*VLOOKUP($B$4,Other_regional_data,4,FALSE)*Other_F_local</f>
        <v>0</v>
      </c>
      <c r="K18" s="46">
        <f t="shared" si="0"/>
        <v>0</v>
      </c>
      <c r="L18" s="46">
        <f t="shared" si="1"/>
        <v>0</v>
      </c>
      <c r="M18" s="47">
        <f>'Intermediate calcs'!S23*other_rho_sed*Other_t_sed*VLOOKUP(IF(ISBLANK($A18),$B18,$A18),Radionuclide_specific,7,FALSE)*Other_O_riverbank*Other_F_geom</f>
        <v>1.45314E-9</v>
      </c>
      <c r="N18" s="47">
        <f>'Intermediate calcs'!T23*other_rho_sed*Other_t_sed*VLOOKUP(IF(ISBLANK($A18),$B18,$A18),Radionuclide_specific,7,FALSE)*Other_O_riverbank*Other_F_geom</f>
        <v>1.4009760000000001E-12</v>
      </c>
      <c r="O18" s="46">
        <f t="shared" si="4"/>
        <v>1.45314E-9</v>
      </c>
      <c r="P18" s="46">
        <f t="shared" si="5"/>
        <v>1.4009760000000001E-12</v>
      </c>
    </row>
    <row r="19" spans="1:16">
      <c r="A19" s="4" t="s">
        <v>67</v>
      </c>
      <c r="B19" s="4"/>
      <c r="C19" s="46">
        <f>'Intermediate calcs'!G24*VLOOKUP($B$4,Other_regional_data,2,FALSE)*VLOOKUP(IF(ISBLANK($A19),$B19,$A19),Radionuclide_specific,8,FALSE)*VLOOKUP($B$4,Other_regional_data,8,FALSE)*Other_F_local</f>
        <v>0</v>
      </c>
      <c r="D19" s="46">
        <f>'Intermediate calcs'!H24*VLOOKUP($B$4,Other_regional_data,2,FALSE)*VLOOKUP(IF(ISBLANK($A19),$B19,$A19),Radionuclide_specific,8,FALSE)*VLOOKUP($B$4,Other_regional_data,9,FALSE)*Other_F_local</f>
        <v>9.3631049994708027E-12</v>
      </c>
      <c r="E19" s="47">
        <f>'Intermediate calcs'!I24*VLOOKUP($B$4,Other_regional_data,3,FALSE)*VLOOKUP(IF(ISBLANK($A19),$B19,$A19),Radionuclide_specific,8,FALSE)*VLOOKUP($B$4,Other_regional_data,8,FALSE)*Other_F_local</f>
        <v>0</v>
      </c>
      <c r="F19" s="47">
        <f>'Intermediate calcs'!J24*VLOOKUP($B$4,Other_regional_data,3,FALSE)*VLOOKUP(IF(ISBLANK($A19),$B19,$A19),Radionuclide_specific,8,FALSE)*VLOOKUP($B$4,Other_regional_data,9,FALSE)*Other_F_local</f>
        <v>6.292688783843377E-12</v>
      </c>
      <c r="G19" s="46">
        <f t="shared" si="2"/>
        <v>0</v>
      </c>
      <c r="H19" s="46">
        <f t="shared" si="3"/>
        <v>1.565579378331418E-11</v>
      </c>
      <c r="I19" s="47">
        <f>'Intermediate calcs'!E24*VLOOKUP(IF(ISBLANK($A19),$B19,$A19),Radionuclide_specific,8,FALSE)*VLOOKUP($B$4,Other_regional_data,4,FALSE)*Other_F_local</f>
        <v>2.0473345588235298E-10</v>
      </c>
      <c r="J19" s="47">
        <f>'Intermediate calcs'!F24*VLOOKUP(IF(ISBLANK($A19),$B19,$A19),Radionuclide_specific,8,FALSE)*VLOOKUP($B$4,Other_regional_data,4,FALSE)*Other_F_local</f>
        <v>6.9609374999999996E-13</v>
      </c>
      <c r="K19" s="46">
        <f t="shared" si="0"/>
        <v>4.4550000000000008E-9</v>
      </c>
      <c r="L19" s="46">
        <f t="shared" si="1"/>
        <v>4.4550000000000004E-11</v>
      </c>
      <c r="M19" s="47">
        <f>'Intermediate calcs'!S24*other_rho_sed*Other_t_sed*VLOOKUP(IF(ISBLANK($A19),$B19,$A19),Radionuclide_specific,7,FALSE)*Other_O_riverbank*Other_F_geom</f>
        <v>1.7016480000000003E-11</v>
      </c>
      <c r="N19" s="47">
        <f>'Intermediate calcs'!T24*other_rho_sed*Other_t_sed*VLOOKUP(IF(ISBLANK($A19),$B19,$A19),Radionuclide_specific,7,FALSE)*Other_O_riverbank*Other_F_geom</f>
        <v>5.7704399999999999E-14</v>
      </c>
      <c r="O19" s="46">
        <f t="shared" si="4"/>
        <v>4.6767499358823538E-9</v>
      </c>
      <c r="P19" s="46">
        <f t="shared" si="5"/>
        <v>6.0959591933314184E-11</v>
      </c>
    </row>
    <row r="20" spans="1:16">
      <c r="A20" s="4" t="s">
        <v>239</v>
      </c>
      <c r="B20" s="4"/>
      <c r="C20" s="46">
        <f>'Intermediate calcs'!G25*VLOOKUP($B$4,Other_regional_data,2,FALSE)*VLOOKUP(IF(ISBLANK($A20),$B20,$A20),Radionuclide_specific,8,FALSE)*VLOOKUP($B$4,Other_regional_data,8,FALSE)*Other_F_local</f>
        <v>0</v>
      </c>
      <c r="D20" s="46">
        <f>'Intermediate calcs'!H25*VLOOKUP($B$4,Other_regional_data,2,FALSE)*VLOOKUP(IF(ISBLANK($A20),$B20,$A20),Radionuclide_specific,8,FALSE)*VLOOKUP($B$4,Other_regional_data,9,FALSE)*Other_F_local</f>
        <v>1.1913855901633283E-14</v>
      </c>
      <c r="E20" s="47">
        <f>'Intermediate calcs'!I25*VLOOKUP($B$4,Other_regional_data,3,FALSE)*VLOOKUP(IF(ISBLANK($A20),$B20,$A20),Radionuclide_specific,8,FALSE)*VLOOKUP($B$4,Other_regional_data,8,FALSE)*Other_F_local</f>
        <v>0</v>
      </c>
      <c r="F20" s="47">
        <f>'Intermediate calcs'!J25*VLOOKUP($B$4,Other_regional_data,3,FALSE)*VLOOKUP(IF(ISBLANK($A20),$B20,$A20),Radionuclide_specific,8,FALSE)*VLOOKUP($B$4,Other_regional_data,9,FALSE)*Other_F_local</f>
        <v>2.0406043124309103E-14</v>
      </c>
      <c r="G20" s="46">
        <f t="shared" ref="G20" si="18">C20+E20</f>
        <v>0</v>
      </c>
      <c r="H20" s="46">
        <f t="shared" ref="H20" si="19">D20+F20</f>
        <v>3.2319899025942386E-14</v>
      </c>
      <c r="I20" s="47">
        <f>'Intermediate calcs'!E25*VLOOKUP(IF(ISBLANK($A20),$B20,$A20),Radionuclide_specific,8,FALSE)*VLOOKUP($B$4,Other_regional_data,4,FALSE)*Other_F_local</f>
        <v>3.7224264705882366E-12</v>
      </c>
      <c r="J20" s="47">
        <f>'Intermediate calcs'!F25*VLOOKUP(IF(ISBLANK($A20),$B20,$A20),Radionuclide_specific,8,FALSE)*VLOOKUP($B$4,Other_regional_data,4,FALSE)*Other_F_local</f>
        <v>1.265625E-14</v>
      </c>
      <c r="K20" s="46">
        <f t="shared" si="0"/>
        <v>8.1000000000000018E-11</v>
      </c>
      <c r="L20" s="46">
        <f t="shared" si="1"/>
        <v>8.1000000000000018E-13</v>
      </c>
      <c r="M20" s="47">
        <f>'Intermediate calcs'!S25*other_rho_sed*Other_t_sed*VLOOKUP(IF(ISBLANK($A20),$B20,$A20),Radionuclide_specific,7,FALSE)*Other_O_riverbank*Other_F_geom</f>
        <v>3.1292352000000006E-10</v>
      </c>
      <c r="N20" s="47">
        <f>'Intermediate calcs'!T25*other_rho_sed*Other_t_sed*VLOOKUP(IF(ISBLANK($A20),$B20,$A20),Radionuclide_specific,7,FALSE)*Other_O_riverbank*Other_F_geom</f>
        <v>1.0771488E-12</v>
      </c>
      <c r="O20" s="46">
        <f t="shared" ref="O20" si="20">G20+I20+K20+M20</f>
        <v>3.9764594647058831E-10</v>
      </c>
      <c r="P20" s="46">
        <f t="shared" ref="P20" si="21">H20+J20+L20+N20</f>
        <v>1.9321249490259428E-12</v>
      </c>
    </row>
    <row r="21" spans="1:16">
      <c r="A21" s="4" t="s">
        <v>177</v>
      </c>
      <c r="B21" s="4"/>
      <c r="C21" s="46">
        <f>'Intermediate calcs'!G26*VLOOKUP($B$4,Other_regional_data,2,FALSE)*VLOOKUP(IF(ISBLANK($A21),$B21,$A21),Radionuclide_specific,8,FALSE)*VLOOKUP($B$4,Other_regional_data,8,FALSE)*Other_F_local</f>
        <v>0</v>
      </c>
      <c r="D21" s="46">
        <f>'Intermediate calcs'!H26*VLOOKUP($B$4,Other_regional_data,2,FALSE)*VLOOKUP(IF(ISBLANK($A21),$B21,$A21),Radionuclide_specific,8,FALSE)*VLOOKUP($B$4,Other_regional_data,9,FALSE)*Other_F_local</f>
        <v>1.3168763235347976E-12</v>
      </c>
      <c r="E21" s="47">
        <f>'Intermediate calcs'!I26*VLOOKUP($B$4,Other_regional_data,3,FALSE)*VLOOKUP(IF(ISBLANK($A21),$B21,$A21),Radionuclide_specific,8,FALSE)*VLOOKUP($B$4,Other_regional_data,8,FALSE)*Other_F_local</f>
        <v>0</v>
      </c>
      <c r="F21" s="47">
        <f>'Intermediate calcs'!J26*VLOOKUP($B$4,Other_regional_data,3,FALSE)*VLOOKUP(IF(ISBLANK($A21),$B21,$A21),Radionuclide_specific,8,FALSE)*VLOOKUP($B$4,Other_regional_data,9,FALSE)*Other_F_local</f>
        <v>6.446229399584539E-13</v>
      </c>
      <c r="G21" s="46">
        <f t="shared" ref="G21" si="22">C21+E21</f>
        <v>0</v>
      </c>
      <c r="H21" s="46">
        <f t="shared" ref="H21" si="23">D21+F21</f>
        <v>1.9614992634932513E-12</v>
      </c>
      <c r="I21" s="47">
        <f>'Intermediate calcs'!E26*VLOOKUP(IF(ISBLANK($A21),$B21,$A21),Radionuclide_specific,8,FALSE)*VLOOKUP($B$4,Other_regional_data,4,FALSE)*Other_F_local</f>
        <v>2.0292721518987346E-9</v>
      </c>
      <c r="J21" s="47">
        <f>'Intermediate calcs'!F26*VLOOKUP(IF(ISBLANK($A21),$B21,$A21),Radionuclide_specific,8,FALSE)*VLOOKUP($B$4,Other_regional_data,4,FALSE)*Other_F_local</f>
        <v>2.0685483870967745E-12</v>
      </c>
      <c r="K21" s="46">
        <f t="shared" si="0"/>
        <v>7.6950000000000008E-10</v>
      </c>
      <c r="L21" s="46">
        <f t="shared" si="1"/>
        <v>7.6950000000000006E-12</v>
      </c>
      <c r="M21" s="47">
        <f>'Intermediate calcs'!S26*other_rho_sed*Other_t_sed*VLOOKUP(IF(ISBLANK($A21),$B21,$A21),Radionuclide_specific,7,FALSE)*Other_O_riverbank*Other_F_geom</f>
        <v>5.8501440000000015E-9</v>
      </c>
      <c r="N21" s="47">
        <f>'Intermediate calcs'!T26*other_rho_sed*Other_t_sed*VLOOKUP(IF(ISBLANK($A21),$B21,$A21),Radionuclide_specific,7,FALSE)*Other_O_riverbank*Other_F_geom</f>
        <v>5.9780160000000001E-12</v>
      </c>
      <c r="O21" s="46">
        <f t="shared" ref="O21" si="24">G21+I21+K21+M21</f>
        <v>8.648916151898736E-9</v>
      </c>
      <c r="P21" s="46">
        <f t="shared" ref="P21" si="25">H21+J21+L21+N21</f>
        <v>1.7703063650590026E-11</v>
      </c>
    </row>
    <row r="22" spans="1:16">
      <c r="A22" s="4" t="s">
        <v>12</v>
      </c>
      <c r="B22" s="4"/>
      <c r="C22" s="46">
        <f>'Intermediate calcs'!G27*VLOOKUP($B$4,Other_regional_data,2,FALSE)*VLOOKUP(IF(ISBLANK($A22),$B22,$A22),Radionuclide_specific,8,FALSE)*VLOOKUP($B$4,Other_regional_data,8,FALSE)*Other_F_local</f>
        <v>0</v>
      </c>
      <c r="D22" s="46">
        <f>'Intermediate calcs'!H27*VLOOKUP($B$4,Other_regional_data,2,FALSE)*VLOOKUP(IF(ISBLANK($A22),$B22,$A22),Radionuclide_specific,8,FALSE)*VLOOKUP($B$4,Other_regional_data,9,FALSE)*Other_F_local</f>
        <v>1.080857756383958E-12</v>
      </c>
      <c r="E22" s="47">
        <f>'Intermediate calcs'!I27*VLOOKUP($B$4,Other_regional_data,3,FALSE)*VLOOKUP(IF(ISBLANK($A22),$B22,$A22),Radionuclide_specific,8,FALSE)*VLOOKUP($B$4,Other_regional_data,8,FALSE)*Other_F_local</f>
        <v>0</v>
      </c>
      <c r="F22" s="47">
        <f>'Intermediate calcs'!J27*VLOOKUP($B$4,Other_regional_data,3,FALSE)*VLOOKUP(IF(ISBLANK($A22),$B22,$A22),Radionuclide_specific,8,FALSE)*VLOOKUP($B$4,Other_regional_data,9,FALSE)*Other_F_local</f>
        <v>7.0504860163723318E-13</v>
      </c>
      <c r="G22" s="46">
        <f t="shared" si="2"/>
        <v>0</v>
      </c>
      <c r="H22" s="46">
        <f t="shared" si="3"/>
        <v>1.7859063580211913E-12</v>
      </c>
      <c r="I22" s="47">
        <f>'Intermediate calcs'!E27*VLOOKUP(IF(ISBLANK($A22),$B22,$A22),Radionuclide_specific,8,FALSE)*VLOOKUP($B$4,Other_regional_data,4,FALSE)*Other_F_local</f>
        <v>1.3884493670886077E-9</v>
      </c>
      <c r="J22" s="47">
        <f>'Intermediate calcs'!F27*VLOOKUP(IF(ISBLANK($A22),$B22,$A22),Radionuclide_specific,8,FALSE)*VLOOKUP($B$4,Other_regional_data,4,FALSE)*Other_F_local</f>
        <v>1.4153225806451615E-12</v>
      </c>
      <c r="K22" s="46">
        <f t="shared" si="0"/>
        <v>5.2650000000000009E-10</v>
      </c>
      <c r="L22" s="46">
        <f t="shared" si="1"/>
        <v>5.2650000000000007E-12</v>
      </c>
      <c r="M22" s="47">
        <f>'Intermediate calcs'!S27*other_rho_sed*Other_t_sed*VLOOKUP(IF(ISBLANK($A22),$B22,$A22),Radionuclide_specific,7,FALSE)*Other_O_riverbank*Other_F_geom</f>
        <v>1.1818871999999999E-11</v>
      </c>
      <c r="N22" s="47">
        <f>'Intermediate calcs'!T27*other_rho_sed*Other_t_sed*VLOOKUP(IF(ISBLANK($A22),$B22,$A22),Radionuclide_specific,7,FALSE)*Other_O_riverbank*Other_F_geom</f>
        <v>1.2077207999999998E-14</v>
      </c>
      <c r="O22" s="46">
        <f t="shared" si="4"/>
        <v>1.9267682390886078E-9</v>
      </c>
      <c r="P22" s="46">
        <f t="shared" si="5"/>
        <v>8.4783061466663529E-12</v>
      </c>
    </row>
    <row r="23" spans="1:16">
      <c r="A23" s="4"/>
      <c r="B23" s="4" t="s">
        <v>107</v>
      </c>
      <c r="C23" s="46">
        <f>'Intermediate calcs'!G28*VLOOKUP($B$4,Other_regional_data,2,FALSE)*VLOOKUP(IF(ISBLANK($A23),$B23,$A23),Radionuclide_specific,8,FALSE)*VLOOKUP($B$4,Other_regional_data,8,FALSE)*Other_F_local</f>
        <v>0</v>
      </c>
      <c r="D23" s="46">
        <f>'Intermediate calcs'!H28*VLOOKUP($B$4,Other_regional_data,2,FALSE)*VLOOKUP(IF(ISBLANK($A23),$B23,$A23),Radionuclide_specific,8,FALSE)*VLOOKUP($B$4,Other_regional_data,9,FALSE)*Other_F_local</f>
        <v>0</v>
      </c>
      <c r="E23" s="47">
        <f>'Intermediate calcs'!I28*VLOOKUP($B$4,Other_regional_data,3,FALSE)*VLOOKUP(IF(ISBLANK($A23),$B23,$A23),Radionuclide_specific,8,FALSE)*VLOOKUP($B$4,Other_regional_data,8,FALSE)*Other_F_local</f>
        <v>0</v>
      </c>
      <c r="F23" s="47">
        <f>'Intermediate calcs'!J28*VLOOKUP($B$4,Other_regional_data,3,FALSE)*VLOOKUP(IF(ISBLANK($A23),$B23,$A23),Radionuclide_specific,8,FALSE)*VLOOKUP($B$4,Other_regional_data,9,FALSE)*Other_F_local</f>
        <v>0</v>
      </c>
      <c r="G23" s="46">
        <f t="shared" si="2"/>
        <v>0</v>
      </c>
      <c r="H23" s="46">
        <f t="shared" si="3"/>
        <v>0</v>
      </c>
      <c r="I23" s="47">
        <f>'Intermediate calcs'!E28*VLOOKUP(IF(ISBLANK($A23),$B23,$A23),Radionuclide_specific,8,FALSE)*VLOOKUP($B$4,Other_regional_data,4,FALSE)*Other_F_local</f>
        <v>0</v>
      </c>
      <c r="J23" s="47">
        <f>'Intermediate calcs'!F28*VLOOKUP(IF(ISBLANK($A23),$B23,$A23),Radionuclide_specific,8,FALSE)*VLOOKUP($B$4,Other_regional_data,4,FALSE)*Other_F_local</f>
        <v>0</v>
      </c>
      <c r="K23" s="46">
        <f t="shared" si="0"/>
        <v>0</v>
      </c>
      <c r="L23" s="46">
        <f t="shared" si="1"/>
        <v>0</v>
      </c>
      <c r="M23" s="47">
        <f>'Intermediate calcs'!S28*other_rho_sed*Other_t_sed*VLOOKUP(IF(ISBLANK($A23),$B23,$A23),Radionuclide_specific,7,FALSE)*Other_O_riverbank*Other_F_geom</f>
        <v>2.1650829552E-9</v>
      </c>
      <c r="N23" s="47">
        <f>'Intermediate calcs'!T28*other_rho_sed*Other_t_sed*VLOOKUP(IF(ISBLANK($A23),$B23,$A23),Radionuclide_specific,7,FALSE)*Other_O_riverbank*Other_F_geom</f>
        <v>2.2124071728000003E-12</v>
      </c>
      <c r="O23" s="46">
        <f t="shared" si="4"/>
        <v>2.1650829552E-9</v>
      </c>
      <c r="P23" s="46">
        <f t="shared" si="5"/>
        <v>2.2124071728000003E-12</v>
      </c>
    </row>
    <row r="24" spans="1:16">
      <c r="A24" s="4" t="s">
        <v>22</v>
      </c>
      <c r="B24" s="4"/>
      <c r="C24" s="46">
        <f>'Intermediate calcs'!G29*VLOOKUP($B$4,Other_regional_data,2,FALSE)*VLOOKUP(IF(ISBLANK($A24),$B24,$A24),Radionuclide_specific,8,FALSE)*VLOOKUP($B$4,Other_regional_data,8,FALSE)*Other_F_local</f>
        <v>0</v>
      </c>
      <c r="D24" s="46">
        <f>'Intermediate calcs'!H29*VLOOKUP($B$4,Other_regional_data,2,FALSE)*VLOOKUP(IF(ISBLANK($A24),$B24,$A24),Radionuclide_specific,8,FALSE)*VLOOKUP($B$4,Other_regional_data,9,FALSE)*Other_F_local</f>
        <v>4.0031402786068516E-12</v>
      </c>
      <c r="E24" s="47">
        <f>'Intermediate calcs'!I29*VLOOKUP($B$4,Other_regional_data,3,FALSE)*VLOOKUP(IF(ISBLANK($A24),$B24,$A24),Radionuclide_specific,8,FALSE)*VLOOKUP($B$4,Other_regional_data,8,FALSE)*Other_F_local</f>
        <v>0</v>
      </c>
      <c r="F24" s="47">
        <f>'Intermediate calcs'!J29*VLOOKUP($B$4,Other_regional_data,3,FALSE)*VLOOKUP(IF(ISBLANK($A24),$B24,$A24),Radionuclide_specific,8,FALSE)*VLOOKUP($B$4,Other_regional_data,9,FALSE)*Other_F_local</f>
        <v>2.3922618517090527E-11</v>
      </c>
      <c r="G24" s="46">
        <f t="shared" si="2"/>
        <v>0</v>
      </c>
      <c r="H24" s="46">
        <f t="shared" si="3"/>
        <v>2.7925758795697376E-11</v>
      </c>
      <c r="I24" s="47">
        <f>'Intermediate calcs'!E29*VLOOKUP(IF(ISBLANK($A24),$B24,$A24),Radionuclide_specific,8,FALSE)*VLOOKUP($B$4,Other_regional_data,4,FALSE)*Other_F_local</f>
        <v>9.703124999999999E-10</v>
      </c>
      <c r="J24" s="47">
        <f>'Intermediate calcs'!F29*VLOOKUP(IF(ISBLANK($A24),$B24,$A24),Radionuclide_specific,8,FALSE)*VLOOKUP($B$4,Other_regional_data,4,FALSE)*Other_F_local</f>
        <v>1.9406249999999999E-12</v>
      </c>
      <c r="K24" s="46">
        <f t="shared" si="0"/>
        <v>1.8629999999999999E-8</v>
      </c>
      <c r="L24" s="46">
        <f t="shared" si="1"/>
        <v>1.8630000000000002E-10</v>
      </c>
      <c r="M24" s="47">
        <f>'Intermediate calcs'!S29*other_rho_sed*Other_t_sed*VLOOKUP(IF(ISBLANK($A24),$B24,$A24),Radionuclide_specific,7,FALSE)*Other_O_riverbank*Other_F_geom</f>
        <v>3.8278655999999994E-12</v>
      </c>
      <c r="N24" s="47">
        <f>'Intermediate calcs'!T29*other_rho_sed*Other_t_sed*VLOOKUP(IF(ISBLANK($A24),$B24,$A24),Radionuclide_specific,7,FALSE)*Other_O_riverbank*Other_F_geom</f>
        <v>7.6373279999999994E-15</v>
      </c>
      <c r="O24" s="46">
        <f t="shared" si="4"/>
        <v>1.96041403656E-8</v>
      </c>
      <c r="P24" s="46">
        <f t="shared" si="5"/>
        <v>2.1617402112369739E-10</v>
      </c>
    </row>
    <row r="25" spans="1:16">
      <c r="A25" s="4" t="s">
        <v>19</v>
      </c>
      <c r="B25" s="4"/>
      <c r="C25" s="46">
        <f>'Intermediate calcs'!G30*VLOOKUP($B$4,Other_regional_data,2,FALSE)*VLOOKUP(IF(ISBLANK($A25),$B25,$A25),Radionuclide_specific,8,FALSE)*VLOOKUP($B$4,Other_regional_data,8,FALSE)*Other_F_local</f>
        <v>0</v>
      </c>
      <c r="D25" s="46">
        <f>'Intermediate calcs'!H30*VLOOKUP($B$4,Other_regional_data,2,FALSE)*VLOOKUP(IF(ISBLANK($A25),$B25,$A25),Radionuclide_specific,8,FALSE)*VLOOKUP($B$4,Other_regional_data,9,FALSE)*Other_F_local</f>
        <v>8.3679310171661261E-13</v>
      </c>
      <c r="E25" s="47">
        <f>'Intermediate calcs'!I30*VLOOKUP($B$4,Other_regional_data,3,FALSE)*VLOOKUP(IF(ISBLANK($A25),$B25,$A25),Radionuclide_specific,8,FALSE)*VLOOKUP($B$4,Other_regional_data,8,FALSE)*Other_F_local</f>
        <v>0</v>
      </c>
      <c r="F25" s="47">
        <f>'Intermediate calcs'!J30*VLOOKUP($B$4,Other_regional_data,3,FALSE)*VLOOKUP(IF(ISBLANK($A25),$B25,$A25),Radionuclide_specific,8,FALSE)*VLOOKUP($B$4,Other_regional_data,9,FALSE)*Other_F_local</f>
        <v>2.8261379142550419E-11</v>
      </c>
      <c r="G25" s="46">
        <f t="shared" si="2"/>
        <v>0</v>
      </c>
      <c r="H25" s="46">
        <f t="shared" si="3"/>
        <v>2.9098172244267032E-11</v>
      </c>
      <c r="I25" s="47">
        <f>'Intermediate calcs'!E30*VLOOKUP(IF(ISBLANK($A25),$B25,$A25),Radionuclide_specific,8,FALSE)*VLOOKUP($B$4,Other_regional_data,4,FALSE)*Other_F_local</f>
        <v>1.6200000000000002E-9</v>
      </c>
      <c r="J25" s="47">
        <f>'Intermediate calcs'!F30*VLOOKUP(IF(ISBLANK($A25),$B25,$A25),Radionuclide_specific,8,FALSE)*VLOOKUP($B$4,Other_regional_data,4,FALSE)*Other_F_local</f>
        <v>1.3885714285714287E-12</v>
      </c>
      <c r="K25" s="46">
        <f t="shared" si="0"/>
        <v>3.2399999999999999E-8</v>
      </c>
      <c r="L25" s="46">
        <f t="shared" si="1"/>
        <v>3.2400000000000002E-10</v>
      </c>
      <c r="M25" s="47">
        <f>'Intermediate calcs'!S30*other_rho_sed*Other_t_sed*VLOOKUP(IF(ISBLANK($A25),$B25,$A25),Radionuclide_specific,7,FALSE)*Other_O_riverbank*Other_F_geom</f>
        <v>3.8793168000000015E-14</v>
      </c>
      <c r="N25" s="47">
        <f>'Intermediate calcs'!T30*other_rho_sed*Other_t_sed*VLOOKUP(IF(ISBLANK($A25),$B25,$A25),Radionuclide_specific,7,FALSE)*Other_O_riverbank*Other_F_geom</f>
        <v>3.3201359999999998E-17</v>
      </c>
      <c r="O25" s="46">
        <f t="shared" si="4"/>
        <v>3.4020038793167993E-8</v>
      </c>
      <c r="P25" s="46">
        <f t="shared" si="5"/>
        <v>3.5448677687419852E-10</v>
      </c>
    </row>
    <row r="26" spans="1:16">
      <c r="A26" s="4" t="s">
        <v>14</v>
      </c>
      <c r="B26" s="4"/>
      <c r="C26" s="46">
        <f>'Intermediate calcs'!G31*VLOOKUP($B$4,Other_regional_data,2,FALSE)*VLOOKUP(IF(ISBLANK($A26),$B26,$A26),Radionuclide_specific,8,FALSE)*VLOOKUP($B$4,Other_regional_data,8,FALSE)*Other_F_local</f>
        <v>0</v>
      </c>
      <c r="D26" s="46">
        <f>'Intermediate calcs'!H31*VLOOKUP($B$4,Other_regional_data,2,FALSE)*VLOOKUP(IF(ISBLANK($A26),$B26,$A26),Radionuclide_specific,8,FALSE)*VLOOKUP($B$4,Other_regional_data,9,FALSE)*Other_F_local</f>
        <v>1.0394980433605154E-11</v>
      </c>
      <c r="E26" s="47">
        <f>'Intermediate calcs'!I31*VLOOKUP($B$4,Other_regional_data,3,FALSE)*VLOOKUP(IF(ISBLANK($A26),$B26,$A26),Radionuclide_specific,8,FALSE)*VLOOKUP($B$4,Other_regional_data,8,FALSE)*Other_F_local</f>
        <v>0</v>
      </c>
      <c r="F26" s="47">
        <f>'Intermediate calcs'!J31*VLOOKUP($B$4,Other_regional_data,3,FALSE)*VLOOKUP(IF(ISBLANK($A26),$B26,$A26),Radionuclide_specific,8,FALSE)*VLOOKUP($B$4,Other_regional_data,9,FALSE)*Other_F_local</f>
        <v>2.107964066433484E-11</v>
      </c>
      <c r="G26" s="46">
        <f t="shared" si="2"/>
        <v>0</v>
      </c>
      <c r="H26" s="46">
        <f t="shared" si="3"/>
        <v>3.1474621097939995E-11</v>
      </c>
      <c r="I26" s="47">
        <f>'Intermediate calcs'!E31*VLOOKUP(IF(ISBLANK($A26),$B26,$A26),Radionuclide_specific,8,FALSE)*VLOOKUP($B$4,Other_regional_data,4,FALSE)*Other_F_local</f>
        <v>6.5853658536585358E-11</v>
      </c>
      <c r="J26" s="47">
        <f>'Intermediate calcs'!F31*VLOOKUP(IF(ISBLANK($A26),$B26,$A26),Radionuclide_specific,8,FALSE)*VLOOKUP($B$4,Other_regional_data,4,FALSE)*Other_F_local</f>
        <v>1.6085106382978724E-13</v>
      </c>
      <c r="K26" s="46">
        <f t="shared" si="0"/>
        <v>7.5600000000000012E-9</v>
      </c>
      <c r="L26" s="46">
        <f t="shared" si="1"/>
        <v>7.5600000000000016E-11</v>
      </c>
      <c r="M26" s="47">
        <f>'Intermediate calcs'!S31*other_rho_sed*Other_t_sed*VLOOKUP(IF(ISBLANK($A26),$B26,$A26),Radionuclide_specific,7,FALSE)*Other_O_riverbank*Other_F_geom</f>
        <v>8.4992544000000023E-12</v>
      </c>
      <c r="N26" s="47">
        <f>'Intermediate calcs'!T31*other_rho_sed*Other_t_sed*VLOOKUP(IF(ISBLANK($A26),$B26,$A26),Radionuclide_specific,7,FALSE)*Other_O_riverbank*Other_F_geom</f>
        <v>2.0720232000000001E-14</v>
      </c>
      <c r="O26" s="46">
        <f t="shared" si="4"/>
        <v>7.6343529129365877E-9</v>
      </c>
      <c r="P26" s="46">
        <f t="shared" si="5"/>
        <v>1.072561923937698E-10</v>
      </c>
    </row>
    <row r="27" spans="1:16">
      <c r="A27" s="4" t="s">
        <v>156</v>
      </c>
      <c r="B27" s="4"/>
      <c r="C27" s="46">
        <f>'Intermediate calcs'!G32*VLOOKUP($B$4,Other_regional_data,2,FALSE)*VLOOKUP(IF(ISBLANK($A27),$B27,$A27),Radionuclide_specific,8,FALSE)*VLOOKUP($B$4,Other_regional_data,8,FALSE)*Other_F_local</f>
        <v>0</v>
      </c>
      <c r="D27" s="46">
        <f>'Intermediate calcs'!H32*VLOOKUP($B$4,Other_regional_data,2,FALSE)*VLOOKUP(IF(ISBLANK($A27),$B27,$A27),Radionuclide_specific,8,FALSE)*VLOOKUP($B$4,Other_regional_data,9,FALSE)*Other_F_local</f>
        <v>2.3507279896907474E-13</v>
      </c>
      <c r="E27" s="47">
        <f>'Intermediate calcs'!I32*VLOOKUP($B$4,Other_regional_data,3,FALSE)*VLOOKUP(IF(ISBLANK($A27),$B27,$A27),Radionuclide_specific,8,FALSE)*VLOOKUP($B$4,Other_regional_data,8,FALSE)*Other_F_local</f>
        <v>0</v>
      </c>
      <c r="F27" s="47">
        <f>'Intermediate calcs'!J32*VLOOKUP($B$4,Other_regional_data,3,FALSE)*VLOOKUP(IF(ISBLANK($A27),$B27,$A27),Radionuclide_specific,8,FALSE)*VLOOKUP($B$4,Other_regional_data,9,FALSE)*Other_F_local</f>
        <v>5.5646090898449697E-12</v>
      </c>
      <c r="G27" s="46">
        <f t="shared" si="2"/>
        <v>0</v>
      </c>
      <c r="H27" s="46">
        <f t="shared" si="3"/>
        <v>5.7996818888140447E-12</v>
      </c>
      <c r="I27" s="47">
        <f>'Intermediate calcs'!E32*VLOOKUP(IF(ISBLANK($A27),$B27,$A27),Radionuclide_specific,8,FALSE)*VLOOKUP($B$4,Other_regional_data,4,FALSE)*Other_F_local</f>
        <v>1.771875E-11</v>
      </c>
      <c r="J27" s="47">
        <f>'Intermediate calcs'!F32*VLOOKUP(IF(ISBLANK($A27),$B27,$A27),Radionuclide_specific,8,FALSE)*VLOOKUP($B$4,Other_regional_data,4,FALSE)*Other_F_local</f>
        <v>8.8593750000000001E-15</v>
      </c>
      <c r="K27" s="46">
        <f t="shared" si="0"/>
        <v>3.1500000000000005E-9</v>
      </c>
      <c r="L27" s="46">
        <f t="shared" si="1"/>
        <v>3.1500000000000001E-11</v>
      </c>
      <c r="M27" s="47">
        <f>'Intermediate calcs'!S32*other_rho_sed*Other_t_sed*VLOOKUP(IF(ISBLANK($A27),$B27,$A27),Radionuclide_specific,7,FALSE)*Other_O_riverbank*Other_F_geom</f>
        <v>5.4348840000000003E-12</v>
      </c>
      <c r="N27" s="47">
        <f>'Intermediate calcs'!T32*other_rho_sed*Other_t_sed*VLOOKUP(IF(ISBLANK($A27),$B27,$A27),Radionuclide_specific,7,FALSE)*Other_O_riverbank*Other_F_geom</f>
        <v>2.7243215999999998E-15</v>
      </c>
      <c r="O27" s="46">
        <f t="shared" ref="O27" si="26">G27+I27+K27+M27</f>
        <v>3.1731536340000004E-9</v>
      </c>
      <c r="P27" s="46">
        <f t="shared" ref="P27" si="27">H27+J27+L27+N27</f>
        <v>3.7311265585414045E-11</v>
      </c>
    </row>
    <row r="28" spans="1:16">
      <c r="A28" s="4" t="s">
        <v>20</v>
      </c>
      <c r="B28" s="4"/>
      <c r="C28" s="46">
        <f>'Intermediate calcs'!G33*VLOOKUP($B$4,Other_regional_data,2,FALSE)*VLOOKUP(IF(ISBLANK($A28),$B28,$A28),Radionuclide_specific,8,FALSE)*VLOOKUP($B$4,Other_regional_data,8,FALSE)*Other_F_local</f>
        <v>0</v>
      </c>
      <c r="D28" s="46">
        <f>'Intermediate calcs'!H33*VLOOKUP($B$4,Other_regional_data,2,FALSE)*VLOOKUP(IF(ISBLANK($A28),$B28,$A28),Radionuclide_specific,8,FALSE)*VLOOKUP($B$4,Other_regional_data,9,FALSE)*Other_F_local</f>
        <v>2.5746068458517707E-13</v>
      </c>
      <c r="E28" s="47">
        <f>'Intermediate calcs'!I33*VLOOKUP($B$4,Other_regional_data,3,FALSE)*VLOOKUP(IF(ISBLANK($A28),$B28,$A28),Radionuclide_specific,8,FALSE)*VLOOKUP($B$4,Other_regional_data,8,FALSE)*Other_F_local</f>
        <v>0</v>
      </c>
      <c r="F28" s="47">
        <f>'Intermediate calcs'!J33*VLOOKUP($B$4,Other_regional_data,3,FALSE)*VLOOKUP(IF(ISBLANK($A28),$B28,$A28),Radionuclide_specific,8,FALSE)*VLOOKUP($B$4,Other_regional_data,9,FALSE)*Other_F_local</f>
        <v>6.0945718603063944E-12</v>
      </c>
      <c r="G28" s="46">
        <f t="shared" si="2"/>
        <v>0</v>
      </c>
      <c r="H28" s="46">
        <f t="shared" si="3"/>
        <v>6.3520325448915714E-12</v>
      </c>
      <c r="I28" s="47">
        <f>'Intermediate calcs'!E33*VLOOKUP(IF(ISBLANK($A28),$B28,$A28),Radionuclide_specific,8,FALSE)*VLOOKUP($B$4,Other_regional_data,4,FALSE)*Other_F_local</f>
        <v>1.9406250000000001E-11</v>
      </c>
      <c r="J28" s="47">
        <f>'Intermediate calcs'!F33*VLOOKUP(IF(ISBLANK($A28),$B28,$A28),Radionuclide_specific,8,FALSE)*VLOOKUP($B$4,Other_regional_data,4,FALSE)*Other_F_local</f>
        <v>9.7031249999999997E-15</v>
      </c>
      <c r="K28" s="46">
        <f t="shared" si="0"/>
        <v>3.4499999999999999E-9</v>
      </c>
      <c r="L28" s="46">
        <f t="shared" si="1"/>
        <v>3.4499999999999997E-11</v>
      </c>
      <c r="M28" s="47">
        <f>'Intermediate calcs'!S33*other_rho_sed*Other_t_sed*VLOOKUP(IF(ISBLANK($A28),$B28,$A28),Radionuclide_specific,7,FALSE)*Other_O_riverbank*Other_F_geom</f>
        <v>3.8820599999999997E-12</v>
      </c>
      <c r="N28" s="47">
        <f>'Intermediate calcs'!T33*other_rho_sed*Other_t_sed*VLOOKUP(IF(ISBLANK($A28),$B28,$A28),Radionuclide_specific,7,FALSE)*Other_O_riverbank*Other_F_geom</f>
        <v>1.9459439999999999E-15</v>
      </c>
      <c r="O28" s="46">
        <f t="shared" si="4"/>
        <v>3.4732883099999998E-9</v>
      </c>
      <c r="P28" s="46">
        <f t="shared" si="5"/>
        <v>4.0863681613891569E-11</v>
      </c>
    </row>
    <row r="29" spans="1:16">
      <c r="A29" s="4"/>
      <c r="B29" s="4" t="s">
        <v>29</v>
      </c>
      <c r="C29" s="46">
        <f>'Intermediate calcs'!G34*VLOOKUP($B$4,Other_regional_data,2,FALSE)*VLOOKUP(IF(ISBLANK($A29),$B29,$A29),Radionuclide_specific,8,FALSE)*VLOOKUP($B$4,Other_regional_data,8,FALSE)*Other_F_local</f>
        <v>0</v>
      </c>
      <c r="D29" s="46">
        <f>'Intermediate calcs'!H34*VLOOKUP($B$4,Other_regional_data,2,FALSE)*VLOOKUP(IF(ISBLANK($A29),$B29,$A29),Radionuclide_specific,8,FALSE)*VLOOKUP($B$4,Other_regional_data,9,FALSE)*Other_F_local</f>
        <v>8.5322405938189829E-12</v>
      </c>
      <c r="E29" s="47">
        <f>'Intermediate calcs'!I34*VLOOKUP($B$4,Other_regional_data,3,FALSE)*VLOOKUP(IF(ISBLANK($A29),$B29,$A29),Radionuclide_specific,8,FALSE)*VLOOKUP($B$4,Other_regional_data,8,FALSE)*Other_F_local</f>
        <v>0</v>
      </c>
      <c r="F29" s="47">
        <f>'Intermediate calcs'!J34*VLOOKUP($B$4,Other_regional_data,3,FALSE)*VLOOKUP(IF(ISBLANK($A29),$B29,$A29),Radionuclide_specific,8,FALSE)*VLOOKUP($B$4,Other_regional_data,9,FALSE)*Other_F_local</f>
        <v>2.2384735898134703E-11</v>
      </c>
      <c r="G29" s="46">
        <f t="shared" si="2"/>
        <v>0</v>
      </c>
      <c r="H29" s="46">
        <f t="shared" si="3"/>
        <v>3.0916976491953682E-11</v>
      </c>
      <c r="I29" s="47">
        <f>'Intermediate calcs'!E34*VLOOKUP(IF(ISBLANK($A29),$B29,$A29),Radionuclide_specific,8,FALSE)*VLOOKUP($B$4,Other_regional_data,4,FALSE)*Other_F_local</f>
        <v>3.8812500000000002E-11</v>
      </c>
      <c r="J29" s="47">
        <f>'Intermediate calcs'!F34*VLOOKUP(IF(ISBLANK($A29),$B29,$A29),Radionuclide_specific,8,FALSE)*VLOOKUP($B$4,Other_regional_data,4,FALSE)*Other_F_local</f>
        <v>1.9406249999999999E-14</v>
      </c>
      <c r="K29" s="46">
        <f t="shared" si="0"/>
        <v>1.8629999999999999E-8</v>
      </c>
      <c r="L29" s="46">
        <f t="shared" si="1"/>
        <v>1.8630000000000002E-10</v>
      </c>
      <c r="M29" s="47">
        <f>'Intermediate calcs'!S34*other_rho_sed*Other_t_sed*VLOOKUP(IF(ISBLANK($A29),$B29,$A29),Radionuclide_specific,7,FALSE)*Other_O_riverbank*Other_F_geom</f>
        <v>0</v>
      </c>
      <c r="N29" s="47">
        <f>'Intermediate calcs'!T34*other_rho_sed*Other_t_sed*VLOOKUP(IF(ISBLANK($A29),$B29,$A29),Radionuclide_specific,7,FALSE)*Other_O_riverbank*Other_F_geom</f>
        <v>0</v>
      </c>
      <c r="O29" s="46">
        <f t="shared" si="4"/>
        <v>1.8668812499999998E-8</v>
      </c>
      <c r="P29" s="46">
        <f t="shared" si="5"/>
        <v>2.172363827419537E-10</v>
      </c>
    </row>
    <row r="30" spans="1:16">
      <c r="A30" s="4"/>
      <c r="B30" s="4" t="s">
        <v>108</v>
      </c>
      <c r="C30" s="46">
        <f>'Intermediate calcs'!G35*VLOOKUP($B$4,Other_regional_data,2,FALSE)*VLOOKUP(IF(ISBLANK($A30),$B30,$A30),Radionuclide_specific,8,FALSE)*VLOOKUP($B$4,Other_regional_data,8,FALSE)*Other_F_local</f>
        <v>0</v>
      </c>
      <c r="D30" s="46">
        <f>'Intermediate calcs'!H35*VLOOKUP($B$4,Other_regional_data,2,FALSE)*VLOOKUP(IF(ISBLANK($A30),$B30,$A30),Radionuclide_specific,8,FALSE)*VLOOKUP($B$4,Other_regional_data,9,FALSE)*Other_F_local</f>
        <v>0</v>
      </c>
      <c r="E30" s="47">
        <f>'Intermediate calcs'!I35*VLOOKUP($B$4,Other_regional_data,3,FALSE)*VLOOKUP(IF(ISBLANK($A30),$B30,$A30),Radionuclide_specific,8,FALSE)*VLOOKUP($B$4,Other_regional_data,8,FALSE)*Other_F_local</f>
        <v>0</v>
      </c>
      <c r="F30" s="47">
        <f>'Intermediate calcs'!J35*VLOOKUP($B$4,Other_regional_data,3,FALSE)*VLOOKUP(IF(ISBLANK($A30),$B30,$A30),Radionuclide_specific,8,FALSE)*VLOOKUP($B$4,Other_regional_data,9,FALSE)*Other_F_local</f>
        <v>0</v>
      </c>
      <c r="G30" s="46">
        <f t="shared" si="2"/>
        <v>0</v>
      </c>
      <c r="H30" s="46">
        <f t="shared" si="3"/>
        <v>0</v>
      </c>
      <c r="I30" s="47">
        <f>'Intermediate calcs'!E35*VLOOKUP(IF(ISBLANK($A30),$B30,$A30),Radionuclide_specific,8,FALSE)*VLOOKUP($B$4,Other_regional_data,4,FALSE)*Other_F_local</f>
        <v>9.0703125000000006E-14</v>
      </c>
      <c r="J30" s="47">
        <f>'Intermediate calcs'!F35*VLOOKUP(IF(ISBLANK($A30),$B30,$A30),Radionuclide_specific,8,FALSE)*VLOOKUP($B$4,Other_regional_data,4,FALSE)*Other_F_local</f>
        <v>4.5351562500000008E-17</v>
      </c>
      <c r="K30" s="46">
        <f t="shared" si="0"/>
        <v>1.1610000000000002E-11</v>
      </c>
      <c r="L30" s="46">
        <f t="shared" si="1"/>
        <v>1.1610000000000001E-13</v>
      </c>
      <c r="M30" s="47">
        <f>'Intermediate calcs'!S35*other_rho_sed*Other_t_sed*VLOOKUP(IF(ISBLANK($A30),$B30,$A30),Radionuclide_specific,7,FALSE)*Other_O_riverbank*Other_F_geom</f>
        <v>8.0115480000000007E-9</v>
      </c>
      <c r="N30" s="47">
        <f>'Intermediate calcs'!T35*other_rho_sed*Other_t_sed*VLOOKUP(IF(ISBLANK($A30),$B30,$A30),Radionuclide_specific,7,FALSE)*Other_O_riverbank*Other_F_geom</f>
        <v>4.0159152000000002E-12</v>
      </c>
      <c r="O30" s="46">
        <f t="shared" si="4"/>
        <v>8.0232487031250007E-9</v>
      </c>
      <c r="P30" s="46">
        <f t="shared" si="5"/>
        <v>4.1320605515625005E-12</v>
      </c>
    </row>
    <row r="31" spans="1:16">
      <c r="A31" s="4"/>
      <c r="B31" s="4" t="s">
        <v>109</v>
      </c>
      <c r="C31" s="46">
        <f>'Intermediate calcs'!G36*VLOOKUP($B$4,Other_regional_data,2,FALSE)*VLOOKUP(IF(ISBLANK($A31),$B31,$A31),Radionuclide_specific,8,FALSE)*VLOOKUP($B$4,Other_regional_data,8,FALSE)*Other_F_local</f>
        <v>0</v>
      </c>
      <c r="D31" s="46">
        <f>'Intermediate calcs'!H36*VLOOKUP($B$4,Other_regional_data,2,FALSE)*VLOOKUP(IF(ISBLANK($A31),$B31,$A31),Radionuclide_specific,8,FALSE)*VLOOKUP($B$4,Other_regional_data,9,FALSE)*Other_F_local</f>
        <v>5.4476247269648295E-14</v>
      </c>
      <c r="E31" s="47">
        <f>'Intermediate calcs'!I36*VLOOKUP($B$4,Other_regional_data,3,FALSE)*VLOOKUP(IF(ISBLANK($A31),$B31,$A31),Radionuclide_specific,8,FALSE)*VLOOKUP($B$4,Other_regional_data,8,FALSE)*Other_F_local</f>
        <v>0</v>
      </c>
      <c r="F31" s="47">
        <f>'Intermediate calcs'!J36*VLOOKUP($B$4,Other_regional_data,3,FALSE)*VLOOKUP(IF(ISBLANK($A31),$B31,$A31),Radionuclide_specific,8,FALSE)*VLOOKUP($B$4,Other_regional_data,9,FALSE)*Other_F_local</f>
        <v>1.8365438811878191E-12</v>
      </c>
      <c r="G31" s="46">
        <f t="shared" si="2"/>
        <v>0</v>
      </c>
      <c r="H31" s="46">
        <f t="shared" si="3"/>
        <v>1.8910201284574674E-12</v>
      </c>
      <c r="I31" s="47">
        <f>'Intermediate calcs'!E36*VLOOKUP(IF(ISBLANK($A31),$B31,$A31),Radionuclide_specific,8,FALSE)*VLOOKUP($B$4,Other_regional_data,4,FALSE)*Other_F_local</f>
        <v>6.0749999999999999E-12</v>
      </c>
      <c r="J31" s="47">
        <f>'Intermediate calcs'!F36*VLOOKUP(IF(ISBLANK($A31),$B31,$A31),Radionuclide_specific,8,FALSE)*VLOOKUP($B$4,Other_regional_data,4,FALSE)*Other_F_local</f>
        <v>3.0375000000000002E-15</v>
      </c>
      <c r="K31" s="46">
        <f t="shared" si="0"/>
        <v>1.08E-9</v>
      </c>
      <c r="L31" s="46">
        <f t="shared" si="1"/>
        <v>1.0799999999999999E-11</v>
      </c>
      <c r="M31" s="47">
        <f>'Intermediate calcs'!S36*other_rho_sed*Other_t_sed*VLOOKUP(IF(ISBLANK($A31),$B31,$A31),Radionuclide_specific,7,FALSE)*Other_O_riverbank*Other_F_geom</f>
        <v>1.8173159999999999E-11</v>
      </c>
      <c r="N31" s="47">
        <f>'Intermediate calcs'!T36*other_rho_sed*Other_t_sed*VLOOKUP(IF(ISBLANK($A31),$B31,$A31),Radionuclide_specific,7,FALSE)*Other_O_riverbank*Other_F_geom</f>
        <v>9.1095839999999993E-15</v>
      </c>
      <c r="O31" s="46">
        <f t="shared" si="4"/>
        <v>1.1042481599999999E-9</v>
      </c>
      <c r="P31" s="46">
        <f t="shared" si="5"/>
        <v>1.2703167212457468E-11</v>
      </c>
    </row>
    <row r="32" spans="1:16">
      <c r="A32" s="4"/>
      <c r="B32" s="4" t="s">
        <v>110</v>
      </c>
      <c r="C32" s="46">
        <f>'Intermediate calcs'!G37*VLOOKUP($B$4,Other_regional_data,2,FALSE)*VLOOKUP(IF(ISBLANK($A32),$B32,$A32),Radionuclide_specific,8,FALSE)*VLOOKUP($B$4,Other_regional_data,8,FALSE)*Other_F_local</f>
        <v>0</v>
      </c>
      <c r="D32" s="46">
        <f>'Intermediate calcs'!H37*VLOOKUP($B$4,Other_regional_data,2,FALSE)*VLOOKUP(IF(ISBLANK($A32),$B32,$A32),Radionuclide_specific,8,FALSE)*VLOOKUP($B$4,Other_regional_data,9,FALSE)*Other_F_local</f>
        <v>1.380539226516274E-16</v>
      </c>
      <c r="E32" s="47">
        <f>'Intermediate calcs'!I37*VLOOKUP($B$4,Other_regional_data,3,FALSE)*VLOOKUP(IF(ISBLANK($A32),$B32,$A32),Radionuclide_specific,8,FALSE)*VLOOKUP($B$4,Other_regional_data,8,FALSE)*Other_F_local</f>
        <v>0</v>
      </c>
      <c r="F32" s="47">
        <f>'Intermediate calcs'!J37*VLOOKUP($B$4,Other_regional_data,3,FALSE)*VLOOKUP(IF(ISBLANK($A32),$B32,$A32),Radionuclide_specific,8,FALSE)*VLOOKUP($B$4,Other_regional_data,9,FALSE)*Other_F_local</f>
        <v>4.7845237034181051E-15</v>
      </c>
      <c r="G32" s="46">
        <f t="shared" si="2"/>
        <v>0</v>
      </c>
      <c r="H32" s="46">
        <f t="shared" si="3"/>
        <v>4.9225776260697325E-15</v>
      </c>
      <c r="I32" s="47">
        <f>'Intermediate calcs'!E37*VLOOKUP(IF(ISBLANK($A32),$B32,$A32),Radionuclide_specific,8,FALSE)*VLOOKUP($B$4,Other_regional_data,4,FALSE)*Other_F_local</f>
        <v>2.1093749999999996E-12</v>
      </c>
      <c r="J32" s="47">
        <f>'Intermediate calcs'!F37*VLOOKUP(IF(ISBLANK($A32),$B32,$A32),Radionuclide_specific,8,FALSE)*VLOOKUP($B$4,Other_regional_data,4,FALSE)*Other_F_local</f>
        <v>1.0546875E-15</v>
      </c>
      <c r="K32" s="46">
        <f t="shared" si="0"/>
        <v>1.6200000000000001E-10</v>
      </c>
      <c r="L32" s="46">
        <f t="shared" si="1"/>
        <v>1.6200000000000002E-12</v>
      </c>
      <c r="M32" s="47">
        <f>'Intermediate calcs'!S37*other_rho_sed*Other_t_sed*VLOOKUP(IF(ISBLANK($A32),$B32,$A32),Radionuclide_specific,7,FALSE)*Other_O_riverbank*Other_F_geom</f>
        <v>1.1518200000000001E-9</v>
      </c>
      <c r="N32" s="47">
        <f>'Intermediate calcs'!T37*other_rho_sed*Other_t_sed*VLOOKUP(IF(ISBLANK($A32),$B32,$A32),Radionuclide_specific,7,FALSE)*Other_O_riverbank*Other_F_geom</f>
        <v>5.7736800000000005E-13</v>
      </c>
      <c r="O32" s="46">
        <f t="shared" si="4"/>
        <v>1.315929375E-9</v>
      </c>
      <c r="P32" s="46">
        <f t="shared" si="5"/>
        <v>2.2033452651260702E-12</v>
      </c>
    </row>
    <row r="33" spans="1:16">
      <c r="A33" s="4" t="s">
        <v>111</v>
      </c>
      <c r="B33" s="4"/>
      <c r="C33" s="46">
        <f>'Intermediate calcs'!G38*VLOOKUP($B$4,Other_regional_data,2,FALSE)*VLOOKUP(IF(ISBLANK($A33),$B33,$A33),Radionuclide_specific,8,FALSE)*VLOOKUP($B$4,Other_regional_data,8,FALSE)*Other_F_local</f>
        <v>0</v>
      </c>
      <c r="D33" s="46">
        <f>'Intermediate calcs'!H38*VLOOKUP($B$4,Other_regional_data,2,FALSE)*VLOOKUP(IF(ISBLANK($A33),$B33,$A33),Radionuclide_specific,8,FALSE)*VLOOKUP($B$4,Other_regional_data,9,FALSE)*Other_F_local</f>
        <v>3.8457475140295871E-13</v>
      </c>
      <c r="E33" s="47">
        <f>'Intermediate calcs'!I38*VLOOKUP($B$4,Other_regional_data,3,FALSE)*VLOOKUP(IF(ISBLANK($A33),$B33,$A33),Radionuclide_specific,8,FALSE)*VLOOKUP($B$4,Other_regional_data,8,FALSE)*Other_F_local</f>
        <v>0</v>
      </c>
      <c r="F33" s="47">
        <f>'Intermediate calcs'!J38*VLOOKUP($B$4,Other_regional_data,3,FALSE)*VLOOKUP(IF(ISBLANK($A33),$B33,$A33),Radionuclide_specific,8,FALSE)*VLOOKUP($B$4,Other_regional_data,9,FALSE)*Other_F_local</f>
        <v>1.8687378812625787E-12</v>
      </c>
      <c r="G33" s="46">
        <f t="shared" ref="G33" si="28">C33+E33</f>
        <v>0</v>
      </c>
      <c r="H33" s="46">
        <f t="shared" ref="H33" si="29">D33+F33</f>
        <v>2.2533126326655374E-12</v>
      </c>
      <c r="I33" s="47">
        <f>'Intermediate calcs'!E38*VLOOKUP(IF(ISBLANK($A33),$B33,$A33),Radionuclide_specific,8,FALSE)*VLOOKUP($B$4,Other_regional_data,4,FALSE)*Other_F_local</f>
        <v>3.1720279720279726E-12</v>
      </c>
      <c r="J33" s="47">
        <f>'Intermediate calcs'!F38*VLOOKUP(IF(ISBLANK($A33),$B33,$A33),Radionuclide_specific,8,FALSE)*VLOOKUP($B$4,Other_regional_data,4,FALSE)*Other_F_local</f>
        <v>3.0977560975609766E-14</v>
      </c>
      <c r="K33" s="46">
        <f t="shared" si="0"/>
        <v>7.3500000000000015E-10</v>
      </c>
      <c r="L33" s="46">
        <f t="shared" si="1"/>
        <v>7.3500000000000008E-12</v>
      </c>
      <c r="M33" s="47">
        <f>'Intermediate calcs'!S38*other_rho_sed*Other_t_sed*VLOOKUP(IF(ISBLANK($A33),$B33,$A33),Radionuclide_specific,7,FALSE)*Other_O_riverbank*Other_F_geom</f>
        <v>6.3161424000000005E-15</v>
      </c>
      <c r="N33" s="47">
        <f>'Intermediate calcs'!T38*other_rho_sed*Other_t_sed*VLOOKUP(IF(ISBLANK($A33),$B33,$A33),Radionuclide_specific,7,FALSE)*Other_O_riverbank*Other_F_geom</f>
        <v>6.164251200000002E-17</v>
      </c>
      <c r="O33" s="46">
        <f t="shared" ref="O33" si="30">G33+I33+K33+M33</f>
        <v>7.3817834411442819E-10</v>
      </c>
      <c r="P33" s="46">
        <f t="shared" ref="P33" si="31">H33+J33+L33+N33</f>
        <v>9.6343518361531467E-12</v>
      </c>
    </row>
    <row r="34" spans="1:16">
      <c r="A34" s="4" t="s">
        <v>30</v>
      </c>
      <c r="B34" s="4"/>
      <c r="C34" s="46">
        <f>'Intermediate calcs'!G39*VLOOKUP($B$4,Other_regional_data,2,FALSE)*VLOOKUP(IF(ISBLANK($A34),$B34,$A34),Radionuclide_specific,8,FALSE)*VLOOKUP($B$4,Other_regional_data,8,FALSE)*Other_F_local</f>
        <v>0</v>
      </c>
      <c r="D34" s="46">
        <f>'Intermediate calcs'!H39*VLOOKUP($B$4,Other_regional_data,2,FALSE)*VLOOKUP(IF(ISBLANK($A34),$B34,$A34),Radionuclide_specific,8,FALSE)*VLOOKUP($B$4,Other_regional_data,9,FALSE)*Other_F_local</f>
        <v>3.5318089414557432E-13</v>
      </c>
      <c r="E34" s="47">
        <f>'Intermediate calcs'!I39*VLOOKUP($B$4,Other_regional_data,3,FALSE)*VLOOKUP(IF(ISBLANK($A34),$B34,$A34),Radionuclide_specific,8,FALSE)*VLOOKUP($B$4,Other_regional_data,8,FALSE)*Other_F_local</f>
        <v>0</v>
      </c>
      <c r="F34" s="47">
        <f>'Intermediate calcs'!J39*VLOOKUP($B$4,Other_regional_data,3,FALSE)*VLOOKUP(IF(ISBLANK($A34),$B34,$A34),Radionuclide_specific,8,FALSE)*VLOOKUP($B$4,Other_regional_data,9,FALSE)*Other_F_local</f>
        <v>1.7161878501391028E-12</v>
      </c>
      <c r="G34" s="46">
        <f t="shared" si="2"/>
        <v>0</v>
      </c>
      <c r="H34" s="46">
        <f t="shared" si="3"/>
        <v>2.0693687442846769E-12</v>
      </c>
      <c r="I34" s="47">
        <f>'Intermediate calcs'!E39*VLOOKUP(IF(ISBLANK($A34),$B34,$A34),Radionuclide_specific,8,FALSE)*VLOOKUP($B$4,Other_regional_data,4,FALSE)*Other_F_local</f>
        <v>2.9130869130869136E-12</v>
      </c>
      <c r="J34" s="47">
        <f>'Intermediate calcs'!F39*VLOOKUP(IF(ISBLANK($A34),$B34,$A34),Radionuclide_specific,8,FALSE)*VLOOKUP($B$4,Other_regional_data,4,FALSE)*Other_F_local</f>
        <v>2.8448780487804882E-14</v>
      </c>
      <c r="K34" s="46">
        <f t="shared" si="0"/>
        <v>6.7500000000000005E-10</v>
      </c>
      <c r="L34" s="46">
        <f t="shared" si="1"/>
        <v>6.7499999999999993E-12</v>
      </c>
      <c r="M34" s="47">
        <f>'Intermediate calcs'!S39*other_rho_sed*Other_t_sed*VLOOKUP(IF(ISBLANK($A34),$B34,$A34),Radionuclide_specific,7,FALSE)*Other_O_riverbank*Other_F_geom</f>
        <v>4.5592632000000009E-15</v>
      </c>
      <c r="N34" s="47">
        <f>'Intermediate calcs'!T39*other_rho_sed*Other_t_sed*VLOOKUP(IF(ISBLANK($A34),$B34,$A34),Radionuclide_specific,7,FALSE)*Other_O_riverbank*Other_F_geom</f>
        <v>4.4496216000000007E-17</v>
      </c>
      <c r="O34" s="46">
        <f t="shared" si="4"/>
        <v>6.7791764617628694E-10</v>
      </c>
      <c r="P34" s="46">
        <f t="shared" si="5"/>
        <v>8.8478620209884824E-12</v>
      </c>
    </row>
    <row r="35" spans="1:16">
      <c r="A35" s="4"/>
      <c r="B35" s="4" t="s">
        <v>31</v>
      </c>
      <c r="C35" s="46">
        <f>'Intermediate calcs'!G40*VLOOKUP($B$4,Other_regional_data,2,FALSE)*VLOOKUP(IF(ISBLANK($A35),$B35,$A35),Radionuclide_specific,8,FALSE)*VLOOKUP($B$4,Other_regional_data,8,FALSE)*Other_F_local</f>
        <v>0</v>
      </c>
      <c r="D35" s="46">
        <f>'Intermediate calcs'!H40*VLOOKUP($B$4,Other_regional_data,2,FALSE)*VLOOKUP(IF(ISBLANK($A35),$B35,$A35),Radionuclide_specific,8,FALSE)*VLOOKUP($B$4,Other_regional_data,9,FALSE)*Other_F_local</f>
        <v>1.6174047502477981E-15</v>
      </c>
      <c r="E35" s="47">
        <f>'Intermediate calcs'!I40*VLOOKUP($B$4,Other_regional_data,3,FALSE)*VLOOKUP(IF(ISBLANK($A35),$B35,$A35),Radionuclide_specific,8,FALSE)*VLOOKUP($B$4,Other_regional_data,8,FALSE)*Other_F_local</f>
        <v>0</v>
      </c>
      <c r="F35" s="47">
        <f>'Intermediate calcs'!J40*VLOOKUP($B$4,Other_regional_data,3,FALSE)*VLOOKUP(IF(ISBLANK($A35),$B35,$A35),Radionuclide_specific,8,FALSE)*VLOOKUP($B$4,Other_regional_data,9,FALSE)*Other_F_local</f>
        <v>5.5740196437129765E-14</v>
      </c>
      <c r="G35" s="46">
        <f t="shared" si="2"/>
        <v>0</v>
      </c>
      <c r="H35" s="46">
        <f t="shared" si="3"/>
        <v>5.7357601187377567E-14</v>
      </c>
      <c r="I35" s="47">
        <f>'Intermediate calcs'!E40*VLOOKUP(IF(ISBLANK($A35),$B35,$A35),Radionuclide_specific,8,FALSE)*VLOOKUP($B$4,Other_regional_data,4,FALSE)*Other_F_local</f>
        <v>1.375624375624376E-12</v>
      </c>
      <c r="J35" s="47">
        <f>'Intermediate calcs'!F40*VLOOKUP(IF(ISBLANK($A35),$B35,$A35),Radionuclide_specific,8,FALSE)*VLOOKUP($B$4,Other_regional_data,4,FALSE)*Other_F_local</f>
        <v>1.3434146341463417E-14</v>
      </c>
      <c r="K35" s="46">
        <f t="shared" si="0"/>
        <v>5.0999999999999998E-11</v>
      </c>
      <c r="L35" s="46">
        <f t="shared" si="1"/>
        <v>5.0999999999999995E-13</v>
      </c>
      <c r="M35" s="47">
        <f>'Intermediate calcs'!S40*other_rho_sed*Other_t_sed*VLOOKUP(IF(ISBLANK($A35),$B35,$A35),Radionuclide_specific,7,FALSE)*Other_O_riverbank*Other_F_geom</f>
        <v>8.0730216000000012E-14</v>
      </c>
      <c r="N35" s="47">
        <f>'Intermediate calcs'!T40*other_rho_sed*Other_t_sed*VLOOKUP(IF(ISBLANK($A35),$B35,$A35),Radionuclide_specific,7,FALSE)*Other_O_riverbank*Other_F_geom</f>
        <v>7.8788808000000002E-16</v>
      </c>
      <c r="O35" s="46">
        <f t="shared" si="4"/>
        <v>5.2456354591624378E-11</v>
      </c>
      <c r="P35" s="46">
        <f t="shared" si="5"/>
        <v>5.8157963560884088E-13</v>
      </c>
    </row>
    <row r="36" spans="1:16">
      <c r="A36" s="4"/>
      <c r="B36" s="4" t="s">
        <v>32</v>
      </c>
      <c r="C36" s="46">
        <f>'Intermediate calcs'!G41*VLOOKUP($B$4,Other_regional_data,2,FALSE)*VLOOKUP(IF(ISBLANK($A36),$B36,$A36),Radionuclide_specific,8,FALSE)*VLOOKUP($B$4,Other_regional_data,8,FALSE)*Other_F_local</f>
        <v>0</v>
      </c>
      <c r="D36" s="46">
        <f>'Intermediate calcs'!H41*VLOOKUP($B$4,Other_regional_data,2,FALSE)*VLOOKUP(IF(ISBLANK($A36),$B36,$A36),Radionuclide_specific,8,FALSE)*VLOOKUP($B$4,Other_regional_data,9,FALSE)*Other_F_local</f>
        <v>0</v>
      </c>
      <c r="E36" s="47">
        <f>'Intermediate calcs'!I41*VLOOKUP($B$4,Other_regional_data,3,FALSE)*VLOOKUP(IF(ISBLANK($A36),$B36,$A36),Radionuclide_specific,8,FALSE)*VLOOKUP($B$4,Other_regional_data,8,FALSE)*Other_F_local</f>
        <v>0</v>
      </c>
      <c r="F36" s="47">
        <f>'Intermediate calcs'!J41*VLOOKUP($B$4,Other_regional_data,3,FALSE)*VLOOKUP(IF(ISBLANK($A36),$B36,$A36),Radionuclide_specific,8,FALSE)*VLOOKUP($B$4,Other_regional_data,9,FALSE)*Other_F_local</f>
        <v>0</v>
      </c>
      <c r="G36" s="46">
        <f t="shared" si="2"/>
        <v>0</v>
      </c>
      <c r="H36" s="46">
        <f t="shared" si="3"/>
        <v>0</v>
      </c>
      <c r="I36" s="47">
        <f>'Intermediate calcs'!E41*VLOOKUP(IF(ISBLANK($A36),$B36,$A36),Radionuclide_specific,8,FALSE)*VLOOKUP($B$4,Other_regional_data,4,FALSE)*Other_F_local</f>
        <v>0</v>
      </c>
      <c r="J36" s="47">
        <f>'Intermediate calcs'!F41*VLOOKUP(IF(ISBLANK($A36),$B36,$A36),Radionuclide_specific,8,FALSE)*VLOOKUP($B$4,Other_regional_data,4,FALSE)*Other_F_local</f>
        <v>0</v>
      </c>
      <c r="K36" s="46">
        <f t="shared" si="0"/>
        <v>0</v>
      </c>
      <c r="L36" s="46">
        <f t="shared" si="1"/>
        <v>0</v>
      </c>
      <c r="M36" s="47">
        <f>'Intermediate calcs'!S41*other_rho_sed*Other_t_sed*VLOOKUP(IF(ISBLANK($A36),$B36,$A36),Radionuclide_specific,7,FALSE)*Other_O_riverbank*Other_F_geom</f>
        <v>1.1640672000000001E-12</v>
      </c>
      <c r="N36" s="47">
        <f>'Intermediate calcs'!T41*other_rho_sed*Other_t_sed*VLOOKUP(IF(ISBLANK($A36),$B36,$A36),Radionuclide_specific,7,FALSE)*Other_O_riverbank*Other_F_geom</f>
        <v>1.1360736000000002E-14</v>
      </c>
      <c r="O36" s="46">
        <f t="shared" si="4"/>
        <v>1.1640672000000001E-12</v>
      </c>
      <c r="P36" s="46">
        <f t="shared" si="5"/>
        <v>1.1360736000000002E-14</v>
      </c>
    </row>
    <row r="37" spans="1:16">
      <c r="A37" s="4" t="s">
        <v>13</v>
      </c>
      <c r="C37" s="46">
        <f>'Intermediate calcs'!G42*VLOOKUP($B$4,Other_regional_data,2,FALSE)*VLOOKUP(IF(ISBLANK($A37),$B37,$A37),Radionuclide_specific,8,FALSE)*VLOOKUP($B$4,Other_regional_data,8,FALSE)*Other_F_local</f>
        <v>0</v>
      </c>
      <c r="D37" s="46">
        <f>'Intermediate calcs'!H42*VLOOKUP($B$4,Other_regional_data,2,FALSE)*VLOOKUP(IF(ISBLANK($A37),$B37,$A37),Radionuclide_specific,8,FALSE)*VLOOKUP($B$4,Other_regional_data,9,FALSE)*Other_F_local</f>
        <v>3.6701451829675991E-13</v>
      </c>
      <c r="E37" s="47">
        <f>'Intermediate calcs'!I42*VLOOKUP($B$4,Other_regional_data,3,FALSE)*VLOOKUP(IF(ISBLANK($A37),$B37,$A37),Radionuclide_specific,8,FALSE)*VLOOKUP($B$4,Other_regional_data,8,FALSE)*Other_F_local</f>
        <v>0</v>
      </c>
      <c r="F37" s="47">
        <f>'Intermediate calcs'!J42*VLOOKUP($B$4,Other_regional_data,3,FALSE)*VLOOKUP(IF(ISBLANK($A37),$B37,$A37),Radionuclide_specific,8,FALSE)*VLOOKUP($B$4,Other_regional_data,9,FALSE)*Other_F_local</f>
        <v>6.8102692465837414E-12</v>
      </c>
      <c r="G37" s="46">
        <f t="shared" si="2"/>
        <v>0</v>
      </c>
      <c r="H37" s="46">
        <f t="shared" si="3"/>
        <v>7.1772837648805014E-12</v>
      </c>
      <c r="I37" s="47">
        <f>'Intermediate calcs'!E42*VLOOKUP(IF(ISBLANK($A37),$B37,$A37),Radionuclide_specific,8,FALSE)*VLOOKUP($B$4,Other_regional_data,4,FALSE)*Other_F_local</f>
        <v>8.7284482758620688E-11</v>
      </c>
      <c r="J37" s="47">
        <f>'Intermediate calcs'!F42*VLOOKUP(IF(ISBLANK($A37),$B37,$A37),Radionuclide_specific,8,FALSE)*VLOOKUP($B$4,Other_regional_data,4,FALSE)*Other_F_local</f>
        <v>4.1838842975206608E-14</v>
      </c>
      <c r="K37" s="46">
        <f t="shared" si="0"/>
        <v>3.375E-9</v>
      </c>
      <c r="L37" s="46">
        <f t="shared" si="1"/>
        <v>3.3750000000000006E-11</v>
      </c>
      <c r="M37" s="47">
        <f>'Intermediate calcs'!S42*other_rho_sed*Other_t_sed*VLOOKUP(IF(ISBLANK($A37),$B37,$A37),Radionuclide_specific,7,FALSE)*Other_O_riverbank*Other_F_geom</f>
        <v>2.5335072000000002E-12</v>
      </c>
      <c r="N37" s="47">
        <f>'Intermediate calcs'!T42*other_rho_sed*Other_t_sed*VLOOKUP(IF(ISBLANK($A37),$B37,$A37),Radionuclide_specific,7,FALSE)*Other_O_riverbank*Other_F_geom</f>
        <v>1.2146112E-15</v>
      </c>
      <c r="O37" s="46">
        <f t="shared" si="4"/>
        <v>3.4648179899586207E-9</v>
      </c>
      <c r="P37" s="46">
        <f t="shared" si="5"/>
        <v>4.0970337219055717E-11</v>
      </c>
    </row>
    <row r="38" spans="1:16">
      <c r="A38" t="s">
        <v>18</v>
      </c>
      <c r="C38" s="46">
        <f>'Intermediate calcs'!G43*VLOOKUP($B$4,Other_regional_data,2,FALSE)*VLOOKUP(IF(ISBLANK($A38),$B38,$A38),Radionuclide_specific,8,FALSE)*VLOOKUP($B$4,Other_regional_data,8,FALSE)*Other_F_local</f>
        <v>0</v>
      </c>
      <c r="D38" s="46">
        <f>'Intermediate calcs'!H43*VLOOKUP($B$4,Other_regional_data,2,FALSE)*VLOOKUP(IF(ISBLANK($A38),$B38,$A38),Radionuclide_specific,8,FALSE)*VLOOKUP($B$4,Other_regional_data,9,FALSE)*Other_F_local</f>
        <v>3.6701451829675991E-13</v>
      </c>
      <c r="E38" s="47">
        <f>'Intermediate calcs'!I43*VLOOKUP($B$4,Other_regional_data,3,FALSE)*VLOOKUP(IF(ISBLANK($A38),$B38,$A38),Radionuclide_specific,8,FALSE)*VLOOKUP($B$4,Other_regional_data,8,FALSE)*Other_F_local</f>
        <v>0</v>
      </c>
      <c r="F38" s="47">
        <f>'Intermediate calcs'!J43*VLOOKUP($B$4,Other_regional_data,3,FALSE)*VLOOKUP(IF(ISBLANK($A38),$B38,$A38),Radionuclide_specific,8,FALSE)*VLOOKUP($B$4,Other_regional_data,9,FALSE)*Other_F_local</f>
        <v>6.8102692465837414E-12</v>
      </c>
      <c r="G38" s="46">
        <f t="shared" si="2"/>
        <v>0</v>
      </c>
      <c r="H38" s="46">
        <f t="shared" si="3"/>
        <v>7.1772837648805014E-12</v>
      </c>
      <c r="I38" s="47">
        <f>'Intermediate calcs'!E43*VLOOKUP(IF(ISBLANK($A38),$B38,$A38),Radionuclide_specific,8,FALSE)*VLOOKUP($B$4,Other_regional_data,4,FALSE)*Other_F_local</f>
        <v>8.7284482758620688E-11</v>
      </c>
      <c r="J38" s="47">
        <f>'Intermediate calcs'!F43*VLOOKUP(IF(ISBLANK($A38),$B38,$A38),Radionuclide_specific,8,FALSE)*VLOOKUP($B$4,Other_regional_data,4,FALSE)*Other_F_local</f>
        <v>4.1838842975206608E-14</v>
      </c>
      <c r="K38" s="46">
        <f t="shared" si="0"/>
        <v>3.375E-9</v>
      </c>
      <c r="L38" s="46">
        <f t="shared" si="1"/>
        <v>3.3750000000000006E-11</v>
      </c>
      <c r="M38" s="47">
        <f>'Intermediate calcs'!S43*other_rho_sed*Other_t_sed*VLOOKUP(IF(ISBLANK($A38),$B38,$A38),Radionuclide_specific,7,FALSE)*Other_O_riverbank*Other_F_geom</f>
        <v>5.3614008000000006E-12</v>
      </c>
      <c r="N38" s="47">
        <f>'Intermediate calcs'!T43*other_rho_sed*Other_t_sed*VLOOKUP(IF(ISBLANK($A38),$B38,$A38),Radionuclide_specific,7,FALSE)*Other_O_riverbank*Other_F_geom</f>
        <v>2.5703568000000008E-15</v>
      </c>
      <c r="O38" s="46">
        <f t="shared" si="4"/>
        <v>3.4676458835586207E-9</v>
      </c>
      <c r="P38" s="46">
        <f t="shared" si="5"/>
        <v>4.0971692964655713E-11</v>
      </c>
    </row>
    <row r="39" spans="1:16">
      <c r="A39" t="s">
        <v>9</v>
      </c>
      <c r="C39" s="46">
        <f>'Intermediate calcs'!G44*VLOOKUP($B$4,Other_regional_data,2,FALSE)*VLOOKUP(IF(ISBLANK($A39),$B39,$A39),Radionuclide_specific,8,FALSE)*VLOOKUP($B$4,Other_regional_data,8,FALSE)*Other_F_local</f>
        <v>0</v>
      </c>
      <c r="D39" s="46">
        <f>'Intermediate calcs'!H44*VLOOKUP($B$4,Other_regional_data,2,FALSE)*VLOOKUP(IF(ISBLANK($A39),$B39,$A39),Radionuclide_specific,8,FALSE)*VLOOKUP($B$4,Other_regional_data,9,FALSE)*Other_F_local</f>
        <v>4.1783191313784964E-13</v>
      </c>
      <c r="E39" s="47">
        <f>'Intermediate calcs'!I44*VLOOKUP($B$4,Other_regional_data,3,FALSE)*VLOOKUP(IF(ISBLANK($A39),$B39,$A39),Radionuclide_specific,8,FALSE)*VLOOKUP($B$4,Other_regional_data,8,FALSE)*Other_F_local</f>
        <v>0</v>
      </c>
      <c r="F39" s="47">
        <f>'Intermediate calcs'!J44*VLOOKUP($B$4,Other_regional_data,3,FALSE)*VLOOKUP(IF(ISBLANK($A39),$B39,$A39),Radionuclide_specific,8,FALSE)*VLOOKUP($B$4,Other_regional_data,9,FALSE)*Other_F_local</f>
        <v>5.646332320803974E-12</v>
      </c>
      <c r="G39" s="46">
        <f t="shared" si="2"/>
        <v>0</v>
      </c>
      <c r="H39" s="46">
        <f t="shared" si="3"/>
        <v>6.0641642339418235E-12</v>
      </c>
      <c r="I39" s="47">
        <f>'Intermediate calcs'!E44*VLOOKUP(IF(ISBLANK($A39),$B39,$A39),Radionuclide_specific,8,FALSE)*VLOOKUP($B$4,Other_regional_data,4,FALSE)*Other_F_local</f>
        <v>9.5294117647058814E-10</v>
      </c>
      <c r="J39" s="47">
        <f>'Intermediate calcs'!F44*VLOOKUP(IF(ISBLANK($A39),$B39,$A39),Radionuclide_specific,8,FALSE)*VLOOKUP($B$4,Other_regional_data,4,FALSE)*Other_F_local</f>
        <v>5.3114754098360663E-13</v>
      </c>
      <c r="K39" s="46">
        <f t="shared" si="0"/>
        <v>2.7000000000000002E-9</v>
      </c>
      <c r="L39" s="46">
        <f t="shared" si="1"/>
        <v>2.7000000000000004E-11</v>
      </c>
      <c r="M39" s="47">
        <f>'Intermediate calcs'!S44*other_rho_sed*Other_t_sed*VLOOKUP(IF(ISBLANK($A39),$B39,$A39),Radionuclide_specific,7,FALSE)*Other_O_riverbank*Other_F_geom</f>
        <v>1.7715456E-10</v>
      </c>
      <c r="N39" s="47">
        <f>'Intermediate calcs'!T44*other_rho_sed*Other_t_sed*VLOOKUP(IF(ISBLANK($A39),$B39,$A39),Radionuclide_specific,7,FALSE)*Other_O_riverbank*Other_F_geom</f>
        <v>9.8642880000000008E-14</v>
      </c>
      <c r="O39" s="46">
        <f t="shared" si="4"/>
        <v>3.8300957364705885E-9</v>
      </c>
      <c r="P39" s="46">
        <f t="shared" si="5"/>
        <v>3.3693954654925436E-11</v>
      </c>
    </row>
    <row r="41" spans="1:16" s="113" customFormat="1" ht="12.75">
      <c r="A41" s="44" t="s">
        <v>297</v>
      </c>
      <c r="B41" s="44" t="s">
        <v>62</v>
      </c>
      <c r="C41" s="133" t="s">
        <v>153</v>
      </c>
      <c r="D41" s="133"/>
      <c r="E41" s="133"/>
      <c r="F41" s="133"/>
      <c r="G41" s="133"/>
      <c r="H41" s="133"/>
      <c r="I41" s="133"/>
      <c r="J41" s="133"/>
      <c r="K41" s="133" t="s">
        <v>154</v>
      </c>
      <c r="L41" s="133"/>
      <c r="M41" s="133"/>
      <c r="N41" s="133"/>
      <c r="O41" s="133" t="s">
        <v>64</v>
      </c>
      <c r="P41" s="133"/>
    </row>
    <row r="42" spans="1:16">
      <c r="A42" s="129" t="s">
        <v>149</v>
      </c>
      <c r="B42" s="129" t="s">
        <v>150</v>
      </c>
      <c r="C42" s="131" t="s">
        <v>208</v>
      </c>
      <c r="D42" s="131"/>
      <c r="E42" s="132" t="s">
        <v>207</v>
      </c>
      <c r="F42" s="132"/>
      <c r="G42" s="131" t="s">
        <v>206</v>
      </c>
      <c r="H42" s="131"/>
      <c r="I42" s="132" t="s">
        <v>205</v>
      </c>
      <c r="J42" s="132"/>
      <c r="K42" s="131" t="s">
        <v>201</v>
      </c>
      <c r="L42" s="131"/>
      <c r="M42" s="132" t="s">
        <v>202</v>
      </c>
      <c r="N42" s="132"/>
      <c r="O42" s="131" t="s">
        <v>204</v>
      </c>
      <c r="P42" s="131"/>
    </row>
    <row r="43" spans="1:16">
      <c r="A43" s="129"/>
      <c r="B43" s="129"/>
      <c r="C43" s="70" t="s">
        <v>73</v>
      </c>
      <c r="D43" s="70" t="s">
        <v>74</v>
      </c>
      <c r="E43" s="69" t="s">
        <v>73</v>
      </c>
      <c r="F43" s="69" t="s">
        <v>74</v>
      </c>
      <c r="G43" s="70" t="s">
        <v>73</v>
      </c>
      <c r="H43" s="70" t="s">
        <v>74</v>
      </c>
      <c r="I43" s="69" t="s">
        <v>73</v>
      </c>
      <c r="J43" s="69" t="s">
        <v>74</v>
      </c>
      <c r="K43" s="70" t="s">
        <v>73</v>
      </c>
      <c r="L43" s="70" t="s">
        <v>74</v>
      </c>
      <c r="M43" s="69" t="s">
        <v>73</v>
      </c>
      <c r="N43" s="69" t="s">
        <v>74</v>
      </c>
      <c r="O43" s="48" t="s">
        <v>73</v>
      </c>
      <c r="P43" s="48" t="s">
        <v>74</v>
      </c>
    </row>
    <row r="44" spans="1:16">
      <c r="A44" s="4" t="s">
        <v>33</v>
      </c>
      <c r="B44" s="4"/>
      <c r="C44" s="46">
        <f>'Intermediate calcs'!G12*VLOOKUP($B$41,Other_regional_data,2,FALSE)*VLOOKUP(IF(ISBLANK($A44),$B44,$A44),Radionuclide_specific,8,FALSE)*VLOOKUP($B$41,Other_regional_data,8,FALSE)*Other_F_local</f>
        <v>0</v>
      </c>
      <c r="D44" s="46">
        <f>'Intermediate calcs'!H12*VLOOKUP($B$41,Other_regional_data,2,FALSE)*VLOOKUP(IF(ISBLANK($A44),$B44,$A44),Radionuclide_specific,8,FALSE)*VLOOKUP($B$41,Other_regional_data,9,FALSE)*Other_F_local</f>
        <v>3.4641705122402372E-18</v>
      </c>
      <c r="E44" s="47">
        <f>'Intermediate calcs'!I12*VLOOKUP($B$41,Other_regional_data,3,FALSE)*VLOOKUP(IF(ISBLANK($A44),$B44,$A44),Radionuclide_specific,8,FALSE)*VLOOKUP($B$41,Other_regional_data,8,FALSE)*Other_F_local</f>
        <v>0</v>
      </c>
      <c r="F44" s="47">
        <f>'Intermediate calcs'!J12*VLOOKUP($B$41,Other_regional_data,3,FALSE)*VLOOKUP(IF(ISBLANK($A44),$B44,$A44),Radionuclide_specific,8,FALSE)*VLOOKUP($B$41,Other_regional_data,9,FALSE)*Other_F_local</f>
        <v>4.5196612402806438E-17</v>
      </c>
      <c r="G44" s="46">
        <f>C44+E44</f>
        <v>0</v>
      </c>
      <c r="H44" s="46">
        <f>D44+F44</f>
        <v>4.8660782915046672E-17</v>
      </c>
      <c r="I44" s="47">
        <f>'Intermediate calcs'!E12*VLOOKUP(IF(ISBLANK($A44),$B44,$A44),Radionuclide_specific,8,FALSE)*VLOOKUP($B$41,Other_regional_data,4,FALSE)*Other_F_local</f>
        <v>2.7378E-15</v>
      </c>
      <c r="J44" s="47">
        <f>'Intermediate calcs'!F12*VLOOKUP(IF(ISBLANK($A44),$B44,$A44),Radionuclide_specific,8,FALSE)*VLOOKUP($B$41,Other_regional_data,4,FALSE)*Other_F_local</f>
        <v>2.7377999999999997E-17</v>
      </c>
      <c r="K44" s="46">
        <f t="shared" ref="K44:N63" si="32">K7</f>
        <v>9E-13</v>
      </c>
      <c r="L44" s="46">
        <f t="shared" si="32"/>
        <v>8.9999999999999995E-15</v>
      </c>
      <c r="M44" s="47">
        <f t="shared" si="32"/>
        <v>0</v>
      </c>
      <c r="N44" s="47">
        <f t="shared" si="32"/>
        <v>0</v>
      </c>
      <c r="O44" s="46">
        <f>G44+I44+K44+M44</f>
        <v>9.0273779999999999E-13</v>
      </c>
      <c r="P44" s="46">
        <f>H44+J44+L44+N44</f>
        <v>9.0760387829150454E-15</v>
      </c>
    </row>
    <row r="45" spans="1:16">
      <c r="A45" s="4"/>
      <c r="B45" s="4" t="s">
        <v>43</v>
      </c>
      <c r="C45" s="46">
        <f>'Intermediate calcs'!G13*VLOOKUP($B$41,Other_regional_data,2,FALSE)*VLOOKUP(IF(ISBLANK($A45),$B45,$A45),Radionuclide_specific,8,FALSE)*VLOOKUP($B$41,Other_regional_data,8,FALSE)*Other_F_local</f>
        <v>0</v>
      </c>
      <c r="D45" s="46">
        <f>'Intermediate calcs'!H13*VLOOKUP($B$41,Other_regional_data,2,FALSE)*VLOOKUP(IF(ISBLANK($A45),$B45,$A45),Radionuclide_specific,8,FALSE)*VLOOKUP($B$41,Other_regional_data,9,FALSE)*Other_F_local</f>
        <v>1.7925003898535892E-17</v>
      </c>
      <c r="E45" s="47">
        <f>'Intermediate calcs'!I13*VLOOKUP($B$41,Other_regional_data,3,FALSE)*VLOOKUP(IF(ISBLANK($A45),$B45,$A45),Radionuclide_specific,8,FALSE)*VLOOKUP($B$41,Other_regional_data,8,FALSE)*Other_F_local</f>
        <v>0</v>
      </c>
      <c r="F45" s="47">
        <f>'Intermediate calcs'!J13*VLOOKUP($B$41,Other_regional_data,3,FALSE)*VLOOKUP(IF(ISBLANK($A45),$B45,$A45),Radionuclide_specific,8,FALSE)*VLOOKUP($B$41,Other_regional_data,9,FALSE)*Other_F_local</f>
        <v>2.525508098264644E-18</v>
      </c>
      <c r="G45" s="46">
        <f t="shared" ref="G45:G76" si="33">C45+E45</f>
        <v>0</v>
      </c>
      <c r="H45" s="46">
        <f t="shared" ref="H45:H76" si="34">D45+F45</f>
        <v>2.0450511996800535E-17</v>
      </c>
      <c r="I45" s="47">
        <f>'Intermediate calcs'!E13*VLOOKUP(IF(ISBLANK($A45),$B45,$A45),Radionuclide_specific,8,FALSE)*VLOOKUP($B$41,Other_regional_data,4,FALSE)*Other_F_local</f>
        <v>7.7297219999999991E-19</v>
      </c>
      <c r="J45" s="47">
        <f>'Intermediate calcs'!F13*VLOOKUP(IF(ISBLANK($A45),$B45,$A45),Radionuclide_specific,8,FALSE)*VLOOKUP($B$41,Other_regional_data,4,FALSE)*Other_F_local</f>
        <v>7.7297219999999989E-21</v>
      </c>
      <c r="K45" s="46">
        <f t="shared" si="32"/>
        <v>2.0999999999999999E-12</v>
      </c>
      <c r="L45" s="46">
        <f t="shared" si="32"/>
        <v>2.0999999999999999E-14</v>
      </c>
      <c r="M45" s="47">
        <f t="shared" si="32"/>
        <v>0</v>
      </c>
      <c r="N45" s="47">
        <f t="shared" si="32"/>
        <v>0</v>
      </c>
      <c r="O45" s="46">
        <f t="shared" ref="O45:O76" si="35">G45+I45+K45+M45</f>
        <v>2.1000007729721998E-12</v>
      </c>
      <c r="P45" s="46">
        <f t="shared" ref="P45:P76" si="36">H45+J45+L45+N45</f>
        <v>2.10204582417188E-14</v>
      </c>
    </row>
    <row r="46" spans="1:16">
      <c r="A46" s="4" t="s">
        <v>10</v>
      </c>
      <c r="B46" s="4"/>
      <c r="C46" s="46">
        <f>'Intermediate calcs'!G14*VLOOKUP($B$41,Other_regional_data,2,FALSE)*VLOOKUP(IF(ISBLANK($A46),$B46,$A46),Radionuclide_specific,8,FALSE)*VLOOKUP($B$41,Other_regional_data,8,FALSE)*Other_F_local</f>
        <v>0</v>
      </c>
      <c r="D46" s="46">
        <f>'Intermediate calcs'!H14*VLOOKUP($B$41,Other_regional_data,2,FALSE)*VLOOKUP(IF(ISBLANK($A46),$B46,$A46),Radionuclide_specific,8,FALSE)*VLOOKUP($B$41,Other_regional_data,9,FALSE)*Other_F_local</f>
        <v>6.7451533258587707E-13</v>
      </c>
      <c r="E46" s="47">
        <f>'Intermediate calcs'!I14*VLOOKUP($B$41,Other_regional_data,3,FALSE)*VLOOKUP(IF(ISBLANK($A46),$B46,$A46),Radionuclide_specific,8,FALSE)*VLOOKUP($B$41,Other_regional_data,8,FALSE)*Other_F_local</f>
        <v>0</v>
      </c>
      <c r="F46" s="47">
        <f>'Intermediate calcs'!J14*VLOOKUP($B$41,Other_regional_data,3,FALSE)*VLOOKUP(IF(ISBLANK($A46),$B46,$A46),Radionuclide_specific,8,FALSE)*VLOOKUP($B$41,Other_regional_data,9,FALSE)*Other_F_local</f>
        <v>8.8297522199879965E-14</v>
      </c>
      <c r="G46" s="46">
        <f t="shared" si="33"/>
        <v>0</v>
      </c>
      <c r="H46" s="46">
        <f t="shared" si="34"/>
        <v>7.6281285478575702E-13</v>
      </c>
      <c r="I46" s="47">
        <f>'Intermediate calcs'!E14*VLOOKUP(IF(ISBLANK($A46),$B46,$A46),Radionuclide_specific,8,FALSE)*VLOOKUP($B$41,Other_regional_data,4,FALSE)*Other_F_local</f>
        <v>4.523547645235477E-8</v>
      </c>
      <c r="J46" s="47">
        <f>'Intermediate calcs'!F14*VLOOKUP(IF(ISBLANK($A46),$B46,$A46),Radionuclide_specific,8,FALSE)*VLOOKUP($B$41,Other_regional_data,4,FALSE)*Other_F_local</f>
        <v>4.5127182044887786E-10</v>
      </c>
      <c r="K46" s="46">
        <f t="shared" si="32"/>
        <v>2.9E-11</v>
      </c>
      <c r="L46" s="46">
        <f t="shared" si="32"/>
        <v>2.8999999999999998E-13</v>
      </c>
      <c r="M46" s="47">
        <f t="shared" si="32"/>
        <v>1.3688568000000001E-17</v>
      </c>
      <c r="N46" s="47">
        <f t="shared" si="32"/>
        <v>1.3661136000000002E-19</v>
      </c>
      <c r="O46" s="46">
        <f t="shared" si="35"/>
        <v>4.5264476466043338E-8</v>
      </c>
      <c r="P46" s="46">
        <f t="shared" si="36"/>
        <v>4.5232463344027497E-10</v>
      </c>
    </row>
    <row r="47" spans="1:16">
      <c r="A47" s="4" t="s">
        <v>240</v>
      </c>
      <c r="B47" s="4"/>
      <c r="C47" s="46">
        <f>'Intermediate calcs'!G15*VLOOKUP($B$41,Other_regional_data,2,FALSE)*VLOOKUP(IF(ISBLANK($A47),$B47,$A47),Radionuclide_specific,8,FALSE)*VLOOKUP($B$41,Other_regional_data,8,FALSE)*Other_F_local</f>
        <v>0</v>
      </c>
      <c r="D47" s="46">
        <f>'Intermediate calcs'!H15*VLOOKUP($B$41,Other_regional_data,2,FALSE)*VLOOKUP(IF(ISBLANK($A47),$B47,$A47),Radionuclide_specific,8,FALSE)*VLOOKUP($B$41,Other_regional_data,9,FALSE)*Other_F_local</f>
        <v>1.7924048532903891E-14</v>
      </c>
      <c r="E47" s="47">
        <f>'Intermediate calcs'!I15*VLOOKUP($B$41,Other_regional_data,3,FALSE)*VLOOKUP(IF(ISBLANK($A47),$B47,$A47),Radionuclide_specific,8,FALSE)*VLOOKUP($B$41,Other_regional_data,8,FALSE)*Other_F_local</f>
        <v>0</v>
      </c>
      <c r="F47" s="47">
        <f>'Intermediate calcs'!J15*VLOOKUP($B$41,Other_regional_data,3,FALSE)*VLOOKUP(IF(ISBLANK($A47),$B47,$A47),Radionuclide_specific,8,FALSE)*VLOOKUP($B$41,Other_regional_data,9,FALSE)*Other_F_local</f>
        <v>1.0058481779231721E-14</v>
      </c>
      <c r="G47" s="46">
        <f t="shared" si="33"/>
        <v>0</v>
      </c>
      <c r="H47" s="46">
        <f t="shared" si="34"/>
        <v>2.7982530312135612E-14</v>
      </c>
      <c r="I47" s="47">
        <f>'Intermediate calcs'!E15*VLOOKUP(IF(ISBLANK($A47),$B47,$A47),Radionuclide_specific,8,FALSE)*VLOOKUP($B$41,Other_regional_data,4,FALSE)*Other_F_local</f>
        <v>1.1964143426294821E-10</v>
      </c>
      <c r="J47" s="47">
        <f>'Intermediate calcs'!F15*VLOOKUP(IF(ISBLANK($A47),$B47,$A47),Radionuclide_specific,8,FALSE)*VLOOKUP($B$41,Other_regional_data,4,FALSE)*Other_F_local</f>
        <v>1.092E-12</v>
      </c>
      <c r="K47" s="46">
        <f t="shared" si="32"/>
        <v>2.0790000000000003E-11</v>
      </c>
      <c r="L47" s="46">
        <f t="shared" si="32"/>
        <v>2.0790000000000003E-13</v>
      </c>
      <c r="M47" s="47">
        <f t="shared" si="32"/>
        <v>5.7168720000000014E-16</v>
      </c>
      <c r="N47" s="47">
        <f t="shared" si="32"/>
        <v>5.2284960000000007E-18</v>
      </c>
      <c r="O47" s="46">
        <f t="shared" si="35"/>
        <v>1.4043200595014821E-10</v>
      </c>
      <c r="P47" s="46">
        <f t="shared" si="36"/>
        <v>1.3278877588081356E-12</v>
      </c>
    </row>
    <row r="48" spans="1:16">
      <c r="A48" s="4" t="s">
        <v>237</v>
      </c>
      <c r="B48" s="4"/>
      <c r="C48" s="46">
        <f>'Intermediate calcs'!G16*VLOOKUP($B$41,Other_regional_data,2,FALSE)*VLOOKUP(IF(ISBLANK($A48),$B48,$A48),Radionuclide_specific,8,FALSE)*VLOOKUP($B$41,Other_regional_data,8,FALSE)*Other_F_local</f>
        <v>0</v>
      </c>
      <c r="D48" s="46">
        <f>'Intermediate calcs'!H16*VLOOKUP($B$41,Other_regional_data,2,FALSE)*VLOOKUP(IF(ISBLANK($A48),$B48,$A48),Radionuclide_specific,8,FALSE)*VLOOKUP($B$41,Other_regional_data,9,FALSE)*Other_F_local</f>
        <v>3.8194617816607498E-15</v>
      </c>
      <c r="E48" s="47">
        <f>'Intermediate calcs'!I16*VLOOKUP($B$41,Other_regional_data,3,FALSE)*VLOOKUP(IF(ISBLANK($A48),$B48,$A48),Radionuclide_specific,8,FALSE)*VLOOKUP($B$41,Other_regional_data,8,FALSE)*Other_F_local</f>
        <v>0</v>
      </c>
      <c r="F48" s="47">
        <f>'Intermediate calcs'!J16*VLOOKUP($B$41,Other_regional_data,3,FALSE)*VLOOKUP(IF(ISBLANK($A48),$B48,$A48),Radionuclide_specific,8,FALSE)*VLOOKUP($B$41,Other_regional_data,9,FALSE)*Other_F_local</f>
        <v>9.7271285625576316E-15</v>
      </c>
      <c r="G48" s="46">
        <f t="shared" ref="G48" si="37">C48+E48</f>
        <v>0</v>
      </c>
      <c r="H48" s="46">
        <f t="shared" ref="H48" si="38">D48+F48</f>
        <v>1.3546590344218381E-14</v>
      </c>
      <c r="I48" s="47">
        <f>'Intermediate calcs'!E16*VLOOKUP(IF(ISBLANK($A48),$B48,$A48),Radionuclide_specific,8,FALSE)*VLOOKUP($B$41,Other_regional_data,4,FALSE)*Other_F_local</f>
        <v>1.287906976744186E-11</v>
      </c>
      <c r="J48" s="47">
        <f>'Intermediate calcs'!F16*VLOOKUP(IF(ISBLANK($A48),$B48,$A48),Radionuclide_specific,8,FALSE)*VLOOKUP($B$41,Other_regional_data,4,FALSE)*Other_F_local</f>
        <v>8.2044444444444444E-15</v>
      </c>
      <c r="K48" s="46">
        <f t="shared" si="32"/>
        <v>1.2780000000000002E-11</v>
      </c>
      <c r="L48" s="46">
        <f t="shared" si="32"/>
        <v>1.278E-13</v>
      </c>
      <c r="M48" s="47">
        <f t="shared" si="32"/>
        <v>5.2281936000000011E-9</v>
      </c>
      <c r="N48" s="47">
        <f t="shared" si="32"/>
        <v>3.3316920000000003E-12</v>
      </c>
      <c r="O48" s="46">
        <f t="shared" ref="O48" si="39">G48+I48+K48+M48</f>
        <v>5.2538526697674432E-9</v>
      </c>
      <c r="P48" s="46">
        <f t="shared" ref="P48" si="40">H48+J48+L48+N48</f>
        <v>3.4812430347886631E-12</v>
      </c>
    </row>
    <row r="49" spans="1:16">
      <c r="A49" s="4" t="s">
        <v>236</v>
      </c>
      <c r="B49" s="4"/>
      <c r="C49" s="46">
        <f>'Intermediate calcs'!G17*VLOOKUP($B$41,Other_regional_data,2,FALSE)*VLOOKUP(IF(ISBLANK($A49),$B49,$A49),Radionuclide_specific,8,FALSE)*VLOOKUP($B$41,Other_regional_data,8,FALSE)*Other_F_local</f>
        <v>0</v>
      </c>
      <c r="D49" s="46">
        <f>'Intermediate calcs'!H17*VLOOKUP($B$41,Other_regional_data,2,FALSE)*VLOOKUP(IF(ISBLANK($A49),$B49,$A49),Radionuclide_specific,8,FALSE)*VLOOKUP($B$41,Other_regional_data,9,FALSE)*Other_F_local</f>
        <v>2.4568571520607232E-15</v>
      </c>
      <c r="E49" s="47">
        <f>'Intermediate calcs'!I17*VLOOKUP($B$41,Other_regional_data,3,FALSE)*VLOOKUP(IF(ISBLANK($A49),$B49,$A49),Radionuclide_specific,8,FALSE)*VLOOKUP($B$41,Other_regional_data,8,FALSE)*Other_F_local</f>
        <v>0</v>
      </c>
      <c r="F49" s="47">
        <f>'Intermediate calcs'!J17*VLOOKUP($B$41,Other_regional_data,3,FALSE)*VLOOKUP(IF(ISBLANK($A49),$B49,$A49),Radionuclide_specific,8,FALSE)*VLOOKUP($B$41,Other_regional_data,9,FALSE)*Other_F_local</f>
        <v>7.2774512241587435E-15</v>
      </c>
      <c r="G49" s="46">
        <f t="shared" ref="G49" si="41">C49+E49</f>
        <v>0</v>
      </c>
      <c r="H49" s="46">
        <f t="shared" ref="H49" si="42">D49+F49</f>
        <v>9.7343083762194666E-15</v>
      </c>
      <c r="I49" s="47">
        <f>'Intermediate calcs'!E17*VLOOKUP(IF(ISBLANK($A49),$B49,$A49),Radionuclide_specific,8,FALSE)*VLOOKUP($B$41,Other_regional_data,4,FALSE)*Other_F_local</f>
        <v>5.8334042553191484E-12</v>
      </c>
      <c r="J49" s="47">
        <f>'Intermediate calcs'!F17*VLOOKUP(IF(ISBLANK($A49),$B49,$A49),Radionuclide_specific,8,FALSE)*VLOOKUP($B$41,Other_regional_data,4,FALSE)*Other_F_local</f>
        <v>4.7681739130434786E-15</v>
      </c>
      <c r="K49" s="46">
        <f t="shared" si="32"/>
        <v>1.9980000000000002E-11</v>
      </c>
      <c r="L49" s="46">
        <f t="shared" si="32"/>
        <v>1.9980000000000004E-13</v>
      </c>
      <c r="M49" s="47">
        <f t="shared" si="32"/>
        <v>4.655340000000001E-9</v>
      </c>
      <c r="N49" s="47">
        <f t="shared" si="32"/>
        <v>3.8161800000000004E-12</v>
      </c>
      <c r="O49" s="46">
        <f t="shared" ref="O49" si="43">G49+I49+K49+M49</f>
        <v>4.6811534042553198E-9</v>
      </c>
      <c r="P49" s="46">
        <f t="shared" ref="P49" si="44">H49+J49+L49+N49</f>
        <v>4.0304824822892636E-12</v>
      </c>
    </row>
    <row r="50" spans="1:16">
      <c r="A50" s="4" t="s">
        <v>11</v>
      </c>
      <c r="B50" s="4"/>
      <c r="C50" s="46">
        <f>'Intermediate calcs'!G18*VLOOKUP($B$41,Other_regional_data,2,FALSE)*VLOOKUP(IF(ISBLANK($A50),$B50,$A50),Radionuclide_specific,8,FALSE)*VLOOKUP($B$41,Other_regional_data,8,FALSE)*Other_F_local</f>
        <v>0</v>
      </c>
      <c r="D50" s="46">
        <f>'Intermediate calcs'!H18*VLOOKUP($B$41,Other_regional_data,2,FALSE)*VLOOKUP(IF(ISBLANK($A50),$B50,$A50),Radionuclide_specific,8,FALSE)*VLOOKUP($B$41,Other_regional_data,9,FALSE)*Other_F_local</f>
        <v>2.2491651026282381E-14</v>
      </c>
      <c r="E50" s="47">
        <f>'Intermediate calcs'!I18*VLOOKUP($B$41,Other_regional_data,3,FALSE)*VLOOKUP(IF(ISBLANK($A50),$B50,$A50),Radionuclide_specific,8,FALSE)*VLOOKUP($B$41,Other_regional_data,8,FALSE)*Other_F_local</f>
        <v>0</v>
      </c>
      <c r="F50" s="47">
        <f>'Intermediate calcs'!J18*VLOOKUP($B$41,Other_regional_data,3,FALSE)*VLOOKUP(IF(ISBLANK($A50),$B50,$A50),Radionuclide_specific,8,FALSE)*VLOOKUP($B$41,Other_regional_data,9,FALSE)*Other_F_local</f>
        <v>5.3802416527914574E-14</v>
      </c>
      <c r="G50" s="46">
        <f t="shared" si="33"/>
        <v>0</v>
      </c>
      <c r="H50" s="46">
        <f t="shared" si="34"/>
        <v>7.6294067554196952E-14</v>
      </c>
      <c r="I50" s="47">
        <f>'Intermediate calcs'!E18*VLOOKUP(IF(ISBLANK($A50),$B50,$A50),Radionuclide_specific,8,FALSE)*VLOOKUP($B$41,Other_regional_data,4,FALSE)*Other_F_local</f>
        <v>2.6802127659574466E-11</v>
      </c>
      <c r="J50" s="47">
        <f>'Intermediate calcs'!F18*VLOOKUP(IF(ISBLANK($A50),$B50,$A50),Radionuclide_specific,8,FALSE)*VLOOKUP($B$41,Other_regional_data,4,FALSE)*Other_F_local</f>
        <v>2.1907826086956521E-14</v>
      </c>
      <c r="K50" s="46">
        <f t="shared" si="32"/>
        <v>9.1800000000000009E-11</v>
      </c>
      <c r="L50" s="46">
        <f t="shared" si="32"/>
        <v>9.1800000000000013E-13</v>
      </c>
      <c r="M50" s="47">
        <f t="shared" si="32"/>
        <v>1.162512E-8</v>
      </c>
      <c r="N50" s="47">
        <f t="shared" si="32"/>
        <v>9.4888800000000007E-12</v>
      </c>
      <c r="O50" s="46">
        <f t="shared" si="35"/>
        <v>1.1743722127659575E-8</v>
      </c>
      <c r="P50" s="46">
        <f t="shared" si="36"/>
        <v>1.0505081893641155E-11</v>
      </c>
    </row>
    <row r="51" spans="1:16">
      <c r="A51" s="4" t="s">
        <v>178</v>
      </c>
      <c r="B51" s="4"/>
      <c r="C51" s="46">
        <f>'Intermediate calcs'!G19*VLOOKUP($B$41,Other_regional_data,2,FALSE)*VLOOKUP(IF(ISBLANK($A51),$B51,$A51),Radionuclide_specific,8,FALSE)*VLOOKUP($B$41,Other_regional_data,8,FALSE)*Other_F_local</f>
        <v>0</v>
      </c>
      <c r="D51" s="46">
        <f>'Intermediate calcs'!H19*VLOOKUP($B$41,Other_regional_data,2,FALSE)*VLOOKUP(IF(ISBLANK($A51),$B51,$A51),Radionuclide_specific,8,FALSE)*VLOOKUP($B$41,Other_regional_data,9,FALSE)*Other_F_local</f>
        <v>4.4053430797593608E-14</v>
      </c>
      <c r="E51" s="47">
        <f>'Intermediate calcs'!I19*VLOOKUP($B$41,Other_regional_data,3,FALSE)*VLOOKUP(IF(ISBLANK($A51),$B51,$A51),Radionuclide_specific,8,FALSE)*VLOOKUP($B$41,Other_regional_data,8,FALSE)*Other_F_local</f>
        <v>0</v>
      </c>
      <c r="F51" s="47">
        <f>'Intermediate calcs'!J19*VLOOKUP($B$41,Other_regional_data,3,FALSE)*VLOOKUP(IF(ISBLANK($A51),$B51,$A51),Radionuclide_specific,8,FALSE)*VLOOKUP($B$41,Other_regional_data,9,FALSE)*Other_F_local</f>
        <v>9.1950517627059706E-14</v>
      </c>
      <c r="G51" s="46">
        <f t="shared" ref="G51" si="45">C51+E51</f>
        <v>0</v>
      </c>
      <c r="H51" s="46">
        <f t="shared" ref="H51" si="46">D51+F51</f>
        <v>1.3600394842465331E-13</v>
      </c>
      <c r="I51" s="47">
        <f>'Intermediate calcs'!E19*VLOOKUP(IF(ISBLANK($A51),$B51,$A51),Radionuclide_specific,8,FALSE)*VLOOKUP($B$41,Other_regional_data,4,FALSE)*Other_F_local</f>
        <v>2.5600990099009904E-9</v>
      </c>
      <c r="J51" s="47">
        <f>'Intermediate calcs'!F19*VLOOKUP(IF(ISBLANK($A51),$B51,$A51),Radionuclide_specific,8,FALSE)*VLOOKUP($B$41,Other_regional_data,4,FALSE)*Other_F_local</f>
        <v>2.0685600000000001E-11</v>
      </c>
      <c r="K51" s="46">
        <f t="shared" si="32"/>
        <v>1.0530000000000001E-10</v>
      </c>
      <c r="L51" s="46">
        <f t="shared" si="32"/>
        <v>1.0530000000000001E-12</v>
      </c>
      <c r="M51" s="47">
        <f t="shared" si="32"/>
        <v>5.7726864000000016E-11</v>
      </c>
      <c r="N51" s="47">
        <f t="shared" si="32"/>
        <v>4.6625544000000009E-13</v>
      </c>
      <c r="O51" s="46">
        <f t="shared" ref="O51" si="47">G51+I51+K51+M51</f>
        <v>2.7231258739009903E-9</v>
      </c>
      <c r="P51" s="46">
        <f t="shared" ref="P51" si="48">H51+J51+L51+N51</f>
        <v>2.2340859388424656E-11</v>
      </c>
    </row>
    <row r="52" spans="1:16">
      <c r="A52" s="4" t="s">
        <v>17</v>
      </c>
      <c r="B52" s="4"/>
      <c r="C52" s="46">
        <f>'Intermediate calcs'!G20*VLOOKUP($B$41,Other_regional_data,2,FALSE)*VLOOKUP(IF(ISBLANK($A52),$B52,$A52),Radionuclide_specific,8,FALSE)*VLOOKUP($B$41,Other_regional_data,8,FALSE)*Other_F_local</f>
        <v>0</v>
      </c>
      <c r="D52" s="46">
        <f>'Intermediate calcs'!H20*VLOOKUP($B$41,Other_regional_data,2,FALSE)*VLOOKUP(IF(ISBLANK($A52),$B52,$A52),Radionuclide_specific,8,FALSE)*VLOOKUP($B$41,Other_regional_data,9,FALSE)*Other_F_local</f>
        <v>1.2389130304488285E-12</v>
      </c>
      <c r="E52" s="47">
        <f>'Intermediate calcs'!I20*VLOOKUP($B$41,Other_regional_data,3,FALSE)*VLOOKUP(IF(ISBLANK($A52),$B52,$A52),Radionuclide_specific,8,FALSE)*VLOOKUP($B$41,Other_regional_data,8,FALSE)*Other_F_local</f>
        <v>0</v>
      </c>
      <c r="F52" s="47">
        <f>'Intermediate calcs'!J20*VLOOKUP($B$41,Other_regional_data,3,FALSE)*VLOOKUP(IF(ISBLANK($A52),$B52,$A52),Radionuclide_specific,8,FALSE)*VLOOKUP($B$41,Other_regional_data,9,FALSE)*Other_F_local</f>
        <v>2.1559199674628227E-12</v>
      </c>
      <c r="G52" s="46">
        <f t="shared" si="33"/>
        <v>0</v>
      </c>
      <c r="H52" s="46">
        <f t="shared" si="34"/>
        <v>3.3948329979116514E-12</v>
      </c>
      <c r="I52" s="47">
        <f>'Intermediate calcs'!E20*VLOOKUP(IF(ISBLANK($A52),$B52,$A52),Radionuclide_specific,8,FALSE)*VLOOKUP($B$41,Other_regional_data,4,FALSE)*Other_F_local</f>
        <v>1.5462890624999998E-11</v>
      </c>
      <c r="J52" s="47">
        <f>'Intermediate calcs'!F20*VLOOKUP(IF(ISBLANK($A52),$B52,$A52),Radionuclide_specific,8,FALSE)*VLOOKUP($B$41,Other_regional_data,4,FALSE)*Other_F_local</f>
        <v>9.8962499999999981E-14</v>
      </c>
      <c r="K52" s="46">
        <f t="shared" si="32"/>
        <v>1.1340000000000002E-9</v>
      </c>
      <c r="L52" s="46">
        <f t="shared" si="32"/>
        <v>1.1340000000000001E-11</v>
      </c>
      <c r="M52" s="47">
        <f t="shared" si="32"/>
        <v>4.1446080000000009E-13</v>
      </c>
      <c r="N52" s="47">
        <f t="shared" si="32"/>
        <v>2.6532576000000005E-15</v>
      </c>
      <c r="O52" s="46">
        <f t="shared" si="35"/>
        <v>1.1498773514250003E-9</v>
      </c>
      <c r="P52" s="46">
        <f t="shared" si="36"/>
        <v>1.4836448755511654E-11</v>
      </c>
    </row>
    <row r="53" spans="1:16">
      <c r="A53" s="4"/>
      <c r="B53" s="4" t="s">
        <v>105</v>
      </c>
      <c r="C53" s="46">
        <f>'Intermediate calcs'!G21*VLOOKUP($B$41,Other_regional_data,2,FALSE)*VLOOKUP(IF(ISBLANK($A53),$B53,$A53),Radionuclide_specific,8,FALSE)*VLOOKUP($B$41,Other_regional_data,8,FALSE)*Other_F_local</f>
        <v>0</v>
      </c>
      <c r="D53" s="46">
        <f>'Intermediate calcs'!H21*VLOOKUP($B$41,Other_regional_data,2,FALSE)*VLOOKUP(IF(ISBLANK($A53),$B53,$A53),Radionuclide_specific,8,FALSE)*VLOOKUP($B$41,Other_regional_data,9,FALSE)*Other_F_local</f>
        <v>0</v>
      </c>
      <c r="E53" s="47">
        <f>'Intermediate calcs'!I21*VLOOKUP($B$41,Other_regional_data,3,FALSE)*VLOOKUP(IF(ISBLANK($A53),$B53,$A53),Radionuclide_specific,8,FALSE)*VLOOKUP($B$41,Other_regional_data,8,FALSE)*Other_F_local</f>
        <v>0</v>
      </c>
      <c r="F53" s="47">
        <f>'Intermediate calcs'!J21*VLOOKUP($B$41,Other_regional_data,3,FALSE)*VLOOKUP(IF(ISBLANK($A53),$B53,$A53),Radionuclide_specific,8,FALSE)*VLOOKUP($B$41,Other_regional_data,9,FALSE)*Other_F_local</f>
        <v>0</v>
      </c>
      <c r="G53" s="46">
        <f t="shared" si="33"/>
        <v>0</v>
      </c>
      <c r="H53" s="46">
        <f t="shared" si="34"/>
        <v>0</v>
      </c>
      <c r="I53" s="47">
        <f>'Intermediate calcs'!E21*VLOOKUP(IF(ISBLANK($A53),$B53,$A53),Radionuclide_specific,8,FALSE)*VLOOKUP($B$41,Other_regional_data,4,FALSE)*Other_F_local</f>
        <v>0</v>
      </c>
      <c r="J53" s="47">
        <f>'Intermediate calcs'!F21*VLOOKUP(IF(ISBLANK($A53),$B53,$A53),Radionuclide_specific,8,FALSE)*VLOOKUP($B$41,Other_regional_data,4,FALSE)*Other_F_local</f>
        <v>0</v>
      </c>
      <c r="K53" s="46">
        <f t="shared" si="32"/>
        <v>0</v>
      </c>
      <c r="L53" s="46">
        <f t="shared" si="32"/>
        <v>0</v>
      </c>
      <c r="M53" s="47">
        <f t="shared" si="32"/>
        <v>2.7799200000000001E-11</v>
      </c>
      <c r="N53" s="47">
        <f t="shared" si="32"/>
        <v>1.7796240000000005E-13</v>
      </c>
      <c r="O53" s="46">
        <f t="shared" si="35"/>
        <v>2.7799200000000001E-11</v>
      </c>
      <c r="P53" s="46">
        <f t="shared" si="36"/>
        <v>1.7796240000000005E-13</v>
      </c>
    </row>
    <row r="54" spans="1:16">
      <c r="A54" s="4" t="s">
        <v>66</v>
      </c>
      <c r="B54" s="4"/>
      <c r="C54" s="46">
        <f>'Intermediate calcs'!G22*VLOOKUP($B$41,Other_regional_data,2,FALSE)*VLOOKUP(IF(ISBLANK($A54),$B54,$A54),Radionuclide_specific,8,FALSE)*VLOOKUP($B$41,Other_regional_data,8,FALSE)*Other_F_local</f>
        <v>0</v>
      </c>
      <c r="D54" s="46">
        <f>'Intermediate calcs'!H22*VLOOKUP($B$41,Other_regional_data,2,FALSE)*VLOOKUP(IF(ISBLANK($A54),$B54,$A54),Radionuclide_specific,8,FALSE)*VLOOKUP($B$41,Other_regional_data,9,FALSE)*Other_F_local</f>
        <v>4.2724151755252261E-15</v>
      </c>
      <c r="E54" s="47">
        <f>'Intermediate calcs'!I22*VLOOKUP($B$41,Other_regional_data,3,FALSE)*VLOOKUP(IF(ISBLANK($A54),$B54,$A54),Radionuclide_specific,8,FALSE)*VLOOKUP($B$41,Other_regional_data,8,FALSE)*Other_F_local</f>
        <v>0</v>
      </c>
      <c r="F54" s="47">
        <f>'Intermediate calcs'!J22*VLOOKUP($B$41,Other_regional_data,3,FALSE)*VLOOKUP(IF(ISBLANK($A54),$B54,$A54),Radionuclide_specific,8,FALSE)*VLOOKUP($B$41,Other_regional_data,9,FALSE)*Other_F_local</f>
        <v>7.7315750557287442E-14</v>
      </c>
      <c r="G54" s="46">
        <f t="shared" si="33"/>
        <v>0</v>
      </c>
      <c r="H54" s="46">
        <f t="shared" si="34"/>
        <v>8.1588165732812671E-14</v>
      </c>
      <c r="I54" s="47">
        <f>'Intermediate calcs'!E22*VLOOKUP(IF(ISBLANK($A54),$B54,$A54),Radionuclide_specific,8,FALSE)*VLOOKUP($B$41,Other_regional_data,4,FALSE)*Other_F_local</f>
        <v>4.5777439024390239E-11</v>
      </c>
      <c r="J54" s="47">
        <f>'Intermediate calcs'!F22*VLOOKUP(IF(ISBLANK($A54),$B54,$A54),Radionuclide_specific,8,FALSE)*VLOOKUP($B$41,Other_regional_data,4,FALSE)*Other_F_local</f>
        <v>4.4161764705882358E-14</v>
      </c>
      <c r="K54" s="46">
        <f t="shared" si="32"/>
        <v>1.8900000000000002E-10</v>
      </c>
      <c r="L54" s="46">
        <f t="shared" si="32"/>
        <v>1.8900000000000002E-12</v>
      </c>
      <c r="M54" s="47">
        <f t="shared" si="32"/>
        <v>0</v>
      </c>
      <c r="N54" s="47">
        <f t="shared" si="32"/>
        <v>0</v>
      </c>
      <c r="O54" s="46">
        <f t="shared" si="35"/>
        <v>2.3477743902439026E-10</v>
      </c>
      <c r="P54" s="46">
        <f t="shared" si="36"/>
        <v>2.0157499304386953E-12</v>
      </c>
    </row>
    <row r="55" spans="1:16">
      <c r="A55" s="4"/>
      <c r="B55" s="4" t="s">
        <v>106</v>
      </c>
      <c r="C55" s="46">
        <f>'Intermediate calcs'!G23*VLOOKUP($B$41,Other_regional_data,2,FALSE)*VLOOKUP(IF(ISBLANK($A55),$B55,$A55),Radionuclide_specific,8,FALSE)*VLOOKUP($B$41,Other_regional_data,8,FALSE)*Other_F_local</f>
        <v>0</v>
      </c>
      <c r="D55" s="46">
        <f>'Intermediate calcs'!H23*VLOOKUP($B$41,Other_regional_data,2,FALSE)*VLOOKUP(IF(ISBLANK($A55),$B55,$A55),Radionuclide_specific,8,FALSE)*VLOOKUP($B$41,Other_regional_data,9,FALSE)*Other_F_local</f>
        <v>0</v>
      </c>
      <c r="E55" s="47">
        <f>'Intermediate calcs'!I23*VLOOKUP($B$41,Other_regional_data,3,FALSE)*VLOOKUP(IF(ISBLANK($A55),$B55,$A55),Radionuclide_specific,8,FALSE)*VLOOKUP($B$41,Other_regional_data,8,FALSE)*Other_F_local</f>
        <v>0</v>
      </c>
      <c r="F55" s="47">
        <f>'Intermediate calcs'!J23*VLOOKUP($B$41,Other_regional_data,3,FALSE)*VLOOKUP(IF(ISBLANK($A55),$B55,$A55),Radionuclide_specific,8,FALSE)*VLOOKUP($B$41,Other_regional_data,9,FALSE)*Other_F_local</f>
        <v>0</v>
      </c>
      <c r="G55" s="46">
        <f t="shared" si="33"/>
        <v>0</v>
      </c>
      <c r="H55" s="46">
        <f t="shared" si="34"/>
        <v>0</v>
      </c>
      <c r="I55" s="47">
        <f>'Intermediate calcs'!E23*VLOOKUP(IF(ISBLANK($A55),$B55,$A55),Radionuclide_specific,8,FALSE)*VLOOKUP($B$41,Other_regional_data,4,FALSE)*Other_F_local</f>
        <v>0</v>
      </c>
      <c r="J55" s="47">
        <f>'Intermediate calcs'!F23*VLOOKUP(IF(ISBLANK($A55),$B55,$A55),Radionuclide_specific,8,FALSE)*VLOOKUP($B$41,Other_regional_data,4,FALSE)*Other_F_local</f>
        <v>0</v>
      </c>
      <c r="K55" s="46">
        <f t="shared" si="32"/>
        <v>0</v>
      </c>
      <c r="L55" s="46">
        <f t="shared" si="32"/>
        <v>0</v>
      </c>
      <c r="M55" s="47">
        <f t="shared" si="32"/>
        <v>1.45314E-9</v>
      </c>
      <c r="N55" s="47">
        <f t="shared" si="32"/>
        <v>1.4009760000000001E-12</v>
      </c>
      <c r="O55" s="46">
        <f t="shared" si="35"/>
        <v>1.45314E-9</v>
      </c>
      <c r="P55" s="46">
        <f t="shared" si="36"/>
        <v>1.4009760000000001E-12</v>
      </c>
    </row>
    <row r="56" spans="1:16">
      <c r="A56" s="4" t="s">
        <v>67</v>
      </c>
      <c r="B56" s="4"/>
      <c r="C56" s="46">
        <f>'Intermediate calcs'!G24*VLOOKUP($B$41,Other_regional_data,2,FALSE)*VLOOKUP(IF(ISBLANK($A56),$B56,$A56),Radionuclide_specific,8,FALSE)*VLOOKUP($B$41,Other_regional_data,8,FALSE)*Other_F_local</f>
        <v>0</v>
      </c>
      <c r="D56" s="46">
        <f>'Intermediate calcs'!H24*VLOOKUP($B$41,Other_regional_data,2,FALSE)*VLOOKUP(IF(ISBLANK($A56),$B56,$A56),Radionuclide_specific,8,FALSE)*VLOOKUP($B$41,Other_regional_data,9,FALSE)*Other_F_local</f>
        <v>4.1394872712910936E-12</v>
      </c>
      <c r="E56" s="47">
        <f>'Intermediate calcs'!I24*VLOOKUP($B$41,Other_regional_data,3,FALSE)*VLOOKUP(IF(ISBLANK($A56),$B56,$A56),Radionuclide_specific,8,FALSE)*VLOOKUP($B$41,Other_regional_data,8,FALSE)*Other_F_local</f>
        <v>0</v>
      </c>
      <c r="F56" s="47">
        <f>'Intermediate calcs'!J24*VLOOKUP($B$41,Other_regional_data,3,FALSE)*VLOOKUP(IF(ISBLANK($A56),$B56,$A56),Radionuclide_specific,8,FALSE)*VLOOKUP($B$41,Other_regional_data,9,FALSE)*Other_F_local</f>
        <v>2.6986170627207057E-12</v>
      </c>
      <c r="G56" s="46">
        <f t="shared" si="33"/>
        <v>0</v>
      </c>
      <c r="H56" s="46">
        <f t="shared" si="34"/>
        <v>6.8381043340117993E-12</v>
      </c>
      <c r="I56" s="47">
        <f>'Intermediate calcs'!E24*VLOOKUP(IF(ISBLANK($A56),$B56,$A56),Radionuclide_specific,8,FALSE)*VLOOKUP($B$41,Other_regional_data,4,FALSE)*Other_F_local</f>
        <v>5.91452205882353E-10</v>
      </c>
      <c r="J56" s="47">
        <f>'Intermediate calcs'!F24*VLOOKUP(IF(ISBLANK($A56),$B56,$A56),Radionuclide_specific,8,FALSE)*VLOOKUP($B$41,Other_regional_data,4,FALSE)*Other_F_local</f>
        <v>2.0109374999999997E-12</v>
      </c>
      <c r="K56" s="46">
        <f t="shared" si="32"/>
        <v>4.4550000000000008E-9</v>
      </c>
      <c r="L56" s="46">
        <f t="shared" si="32"/>
        <v>4.4550000000000004E-11</v>
      </c>
      <c r="M56" s="47">
        <f t="shared" si="32"/>
        <v>1.7016480000000003E-11</v>
      </c>
      <c r="N56" s="47">
        <f t="shared" si="32"/>
        <v>5.7704399999999999E-14</v>
      </c>
      <c r="O56" s="46">
        <f t="shared" si="35"/>
        <v>5.0634686858823539E-9</v>
      </c>
      <c r="P56" s="46">
        <f t="shared" si="36"/>
        <v>5.3456746234011803E-11</v>
      </c>
    </row>
    <row r="57" spans="1:16">
      <c r="A57" s="4" t="s">
        <v>239</v>
      </c>
      <c r="B57" s="4"/>
      <c r="C57" s="46">
        <f>'Intermediate calcs'!G25*VLOOKUP($B$41,Other_regional_data,2,FALSE)*VLOOKUP(IF(ISBLANK($A57),$B57,$A57),Radionuclide_specific,8,FALSE)*VLOOKUP($B$41,Other_regional_data,8,FALSE)*Other_F_local</f>
        <v>0</v>
      </c>
      <c r="D57" s="46">
        <f>'Intermediate calcs'!H25*VLOOKUP($B$41,Other_regional_data,2,FALSE)*VLOOKUP(IF(ISBLANK($A57),$B57,$A57),Radionuclide_specific,8,FALSE)*VLOOKUP($B$41,Other_regional_data,9,FALSE)*Other_F_local</f>
        <v>5.2671901959440419E-15</v>
      </c>
      <c r="E57" s="47">
        <f>'Intermediate calcs'!I25*VLOOKUP($B$41,Other_regional_data,3,FALSE)*VLOOKUP(IF(ISBLANK($A57),$B57,$A57),Radionuclide_specific,8,FALSE)*VLOOKUP($B$41,Other_regional_data,8,FALSE)*Other_F_local</f>
        <v>0</v>
      </c>
      <c r="F57" s="47">
        <f>'Intermediate calcs'!J25*VLOOKUP($B$41,Other_regional_data,3,FALSE)*VLOOKUP(IF(ISBLANK($A57),$B57,$A57),Radionuclide_specific,8,FALSE)*VLOOKUP($B$41,Other_regional_data,9,FALSE)*Other_F_local</f>
        <v>8.7511234147259397E-15</v>
      </c>
      <c r="G57" s="46">
        <f t="shared" ref="G57" si="49">C57+E57</f>
        <v>0</v>
      </c>
      <c r="H57" s="46">
        <f t="shared" ref="H57" si="50">D57+F57</f>
        <v>1.4018313610669982E-14</v>
      </c>
      <c r="I57" s="47">
        <f>'Intermediate calcs'!E25*VLOOKUP(IF(ISBLANK($A57),$B57,$A57),Radionuclide_specific,8,FALSE)*VLOOKUP($B$41,Other_regional_data,4,FALSE)*Other_F_local</f>
        <v>1.0753676470588237E-11</v>
      </c>
      <c r="J57" s="47">
        <f>'Intermediate calcs'!F25*VLOOKUP(IF(ISBLANK($A57),$B57,$A57),Radionuclide_specific,8,FALSE)*VLOOKUP($B$41,Other_regional_data,4,FALSE)*Other_F_local</f>
        <v>3.6562499999999996E-14</v>
      </c>
      <c r="K57" s="46">
        <f t="shared" si="32"/>
        <v>8.1000000000000018E-11</v>
      </c>
      <c r="L57" s="46">
        <f t="shared" si="32"/>
        <v>8.1000000000000018E-13</v>
      </c>
      <c r="M57" s="47">
        <f t="shared" si="32"/>
        <v>3.1292352000000006E-10</v>
      </c>
      <c r="N57" s="47">
        <f t="shared" si="32"/>
        <v>1.0771488E-12</v>
      </c>
      <c r="O57" s="46">
        <f t="shared" ref="O57" si="51">G57+I57+K57+M57</f>
        <v>4.0467719647058833E-10</v>
      </c>
      <c r="P57" s="46">
        <f t="shared" ref="P57" si="52">H57+J57+L57+N57</f>
        <v>1.9377296136106704E-12</v>
      </c>
    </row>
    <row r="58" spans="1:16">
      <c r="A58" s="4" t="s">
        <v>177</v>
      </c>
      <c r="B58" s="4"/>
      <c r="C58" s="46">
        <f>'Intermediate calcs'!G26*VLOOKUP($B$41,Other_regional_data,2,FALSE)*VLOOKUP(IF(ISBLANK($A58),$B58,$A58),Radionuclide_specific,8,FALSE)*VLOOKUP($B$41,Other_regional_data,8,FALSE)*Other_F_local</f>
        <v>0</v>
      </c>
      <c r="D58" s="46">
        <f>'Intermediate calcs'!H26*VLOOKUP($B$41,Other_regional_data,2,FALSE)*VLOOKUP(IF(ISBLANK($A58),$B58,$A58),Radionuclide_specific,8,FALSE)*VLOOKUP($B$41,Other_regional_data,9,FALSE)*Other_F_local</f>
        <v>5.8219925755879113E-13</v>
      </c>
      <c r="E58" s="47">
        <f>'Intermediate calcs'!I26*VLOOKUP($B$41,Other_regional_data,3,FALSE)*VLOOKUP(IF(ISBLANK($A58),$B58,$A58),Radionuclide_specific,8,FALSE)*VLOOKUP($B$41,Other_regional_data,8,FALSE)*Other_F_local</f>
        <v>0</v>
      </c>
      <c r="F58" s="47">
        <f>'Intermediate calcs'!J26*VLOOKUP($B$41,Other_regional_data,3,FALSE)*VLOOKUP(IF(ISBLANK($A58),$B58,$A58),Radionuclide_specific,8,FALSE)*VLOOKUP($B$41,Other_regional_data,9,FALSE)*Other_F_local</f>
        <v>2.7644628942392752E-13</v>
      </c>
      <c r="G58" s="46">
        <f t="shared" ref="G58" si="53">C58+E58</f>
        <v>0</v>
      </c>
      <c r="H58" s="46">
        <f t="shared" ref="H58" si="54">D58+F58</f>
        <v>8.586455469827186E-13</v>
      </c>
      <c r="I58" s="47">
        <f>'Intermediate calcs'!E26*VLOOKUP(IF(ISBLANK($A58),$B58,$A58),Radionuclide_specific,8,FALSE)*VLOOKUP($B$41,Other_regional_data,4,FALSE)*Other_F_local</f>
        <v>5.8623417721518997E-9</v>
      </c>
      <c r="J58" s="47">
        <f>'Intermediate calcs'!F26*VLOOKUP(IF(ISBLANK($A58),$B58,$A58),Radionuclide_specific,8,FALSE)*VLOOKUP($B$41,Other_regional_data,4,FALSE)*Other_F_local</f>
        <v>5.9758064516129038E-12</v>
      </c>
      <c r="K58" s="46">
        <f t="shared" si="32"/>
        <v>7.6950000000000008E-10</v>
      </c>
      <c r="L58" s="46">
        <f t="shared" si="32"/>
        <v>7.6950000000000006E-12</v>
      </c>
      <c r="M58" s="47">
        <f t="shared" si="32"/>
        <v>5.8501440000000015E-9</v>
      </c>
      <c r="N58" s="47">
        <f t="shared" si="32"/>
        <v>5.9780160000000001E-12</v>
      </c>
      <c r="O58" s="46">
        <f t="shared" ref="O58" si="55">G58+I58+K58+M58</f>
        <v>1.24819857721519E-8</v>
      </c>
      <c r="P58" s="46">
        <f t="shared" ref="P58" si="56">H58+J58+L58+N58</f>
        <v>2.0507467998595623E-11</v>
      </c>
    </row>
    <row r="59" spans="1:16">
      <c r="A59" s="4" t="s">
        <v>12</v>
      </c>
      <c r="B59" s="4"/>
      <c r="C59" s="46">
        <f>'Intermediate calcs'!G27*VLOOKUP($B$41,Other_regional_data,2,FALSE)*VLOOKUP(IF(ISBLANK($A59),$B59,$A59),Radionuclide_specific,8,FALSE)*VLOOKUP($B$41,Other_regional_data,8,FALSE)*Other_F_local</f>
        <v>0</v>
      </c>
      <c r="D59" s="46">
        <f>'Intermediate calcs'!H27*VLOOKUP($B$41,Other_regional_data,2,FALSE)*VLOOKUP(IF(ISBLANK($A59),$B59,$A59),Radionuclide_specific,8,FALSE)*VLOOKUP($B$41,Other_regional_data,9,FALSE)*Other_F_local</f>
        <v>4.7785397310833558E-13</v>
      </c>
      <c r="E59" s="47">
        <f>'Intermediate calcs'!I27*VLOOKUP($B$41,Other_regional_data,3,FALSE)*VLOOKUP(IF(ISBLANK($A59),$B59,$A59),Radionuclide_specific,8,FALSE)*VLOOKUP($B$41,Other_regional_data,8,FALSE)*Other_F_local</f>
        <v>0</v>
      </c>
      <c r="F59" s="47">
        <f>'Intermediate calcs'!J27*VLOOKUP($B$41,Other_regional_data,3,FALSE)*VLOOKUP(IF(ISBLANK($A59),$B59,$A59),Radionuclide_specific,8,FALSE)*VLOOKUP($B$41,Other_regional_data,9,FALSE)*Other_F_local</f>
        <v>3.0235981021510625E-13</v>
      </c>
      <c r="G59" s="46">
        <f t="shared" si="33"/>
        <v>0</v>
      </c>
      <c r="H59" s="46">
        <f t="shared" si="34"/>
        <v>7.8021378332344183E-13</v>
      </c>
      <c r="I59" s="47">
        <f>'Intermediate calcs'!E27*VLOOKUP(IF(ISBLANK($A59),$B59,$A59),Radionuclide_specific,8,FALSE)*VLOOKUP($B$41,Other_regional_data,4,FALSE)*Other_F_local</f>
        <v>4.0110759493670891E-9</v>
      </c>
      <c r="J59" s="47">
        <f>'Intermediate calcs'!F27*VLOOKUP(IF(ISBLANK($A59),$B59,$A59),Radionuclide_specific,8,FALSE)*VLOOKUP($B$41,Other_regional_data,4,FALSE)*Other_F_local</f>
        <v>4.0887096774193551E-12</v>
      </c>
      <c r="K59" s="46">
        <f t="shared" si="32"/>
        <v>5.2650000000000009E-10</v>
      </c>
      <c r="L59" s="46">
        <f t="shared" si="32"/>
        <v>5.2650000000000007E-12</v>
      </c>
      <c r="M59" s="47">
        <f t="shared" si="32"/>
        <v>1.1818871999999999E-11</v>
      </c>
      <c r="N59" s="47">
        <f t="shared" si="32"/>
        <v>1.2077207999999998E-14</v>
      </c>
      <c r="O59" s="46">
        <f t="shared" si="35"/>
        <v>4.5493948213670885E-9</v>
      </c>
      <c r="P59" s="46">
        <f t="shared" si="36"/>
        <v>1.0146000668742798E-11</v>
      </c>
    </row>
    <row r="60" spans="1:16">
      <c r="A60" s="4"/>
      <c r="B60" s="4" t="s">
        <v>107</v>
      </c>
      <c r="C60" s="46">
        <f>'Intermediate calcs'!G28*VLOOKUP($B$41,Other_regional_data,2,FALSE)*VLOOKUP(IF(ISBLANK($A60),$B60,$A60),Radionuclide_specific,8,FALSE)*VLOOKUP($B$41,Other_regional_data,8,FALSE)*Other_F_local</f>
        <v>0</v>
      </c>
      <c r="D60" s="46">
        <f>'Intermediate calcs'!H28*VLOOKUP($B$41,Other_regional_data,2,FALSE)*VLOOKUP(IF(ISBLANK($A60),$B60,$A60),Radionuclide_specific,8,FALSE)*VLOOKUP($B$41,Other_regional_data,9,FALSE)*Other_F_local</f>
        <v>0</v>
      </c>
      <c r="E60" s="47">
        <f>'Intermediate calcs'!I28*VLOOKUP($B$41,Other_regional_data,3,FALSE)*VLOOKUP(IF(ISBLANK($A60),$B60,$A60),Radionuclide_specific,8,FALSE)*VLOOKUP($B$41,Other_regional_data,8,FALSE)*Other_F_local</f>
        <v>0</v>
      </c>
      <c r="F60" s="47">
        <f>'Intermediate calcs'!J28*VLOOKUP($B$41,Other_regional_data,3,FALSE)*VLOOKUP(IF(ISBLANK($A60),$B60,$A60),Radionuclide_specific,8,FALSE)*VLOOKUP($B$41,Other_regional_data,9,FALSE)*Other_F_local</f>
        <v>0</v>
      </c>
      <c r="G60" s="46">
        <f t="shared" si="33"/>
        <v>0</v>
      </c>
      <c r="H60" s="46">
        <f t="shared" si="34"/>
        <v>0</v>
      </c>
      <c r="I60" s="47">
        <f>'Intermediate calcs'!E28*VLOOKUP(IF(ISBLANK($A60),$B60,$A60),Radionuclide_specific,8,FALSE)*VLOOKUP($B$41,Other_regional_data,4,FALSE)*Other_F_local</f>
        <v>0</v>
      </c>
      <c r="J60" s="47">
        <f>'Intermediate calcs'!F28*VLOOKUP(IF(ISBLANK($A60),$B60,$A60),Radionuclide_specific,8,FALSE)*VLOOKUP($B$41,Other_regional_data,4,FALSE)*Other_F_local</f>
        <v>0</v>
      </c>
      <c r="K60" s="46">
        <f t="shared" si="32"/>
        <v>0</v>
      </c>
      <c r="L60" s="46">
        <f t="shared" si="32"/>
        <v>0</v>
      </c>
      <c r="M60" s="47">
        <f t="shared" si="32"/>
        <v>2.1650829552E-9</v>
      </c>
      <c r="N60" s="47">
        <f t="shared" si="32"/>
        <v>2.2124071728000003E-12</v>
      </c>
      <c r="O60" s="46">
        <f t="shared" si="35"/>
        <v>2.1650829552E-9</v>
      </c>
      <c r="P60" s="46">
        <f t="shared" si="36"/>
        <v>2.2124071728000003E-12</v>
      </c>
    </row>
    <row r="61" spans="1:16">
      <c r="A61" s="4" t="s">
        <v>22</v>
      </c>
      <c r="B61" s="4"/>
      <c r="C61" s="46">
        <f>'Intermediate calcs'!G29*VLOOKUP($B$41,Other_regional_data,2,FALSE)*VLOOKUP(IF(ISBLANK($A61),$B61,$A61),Radionuclide_specific,8,FALSE)*VLOOKUP($B$41,Other_regional_data,8,FALSE)*Other_F_local</f>
        <v>0</v>
      </c>
      <c r="D61" s="46">
        <f>'Intermediate calcs'!H29*VLOOKUP($B$41,Other_regional_data,2,FALSE)*VLOOKUP(IF(ISBLANK($A61),$B61,$A61),Radionuclide_specific,8,FALSE)*VLOOKUP($B$41,Other_regional_data,9,FALSE)*Other_F_local</f>
        <v>1.769813350317264E-12</v>
      </c>
      <c r="E61" s="47">
        <f>'Intermediate calcs'!I29*VLOOKUP($B$41,Other_regional_data,3,FALSE)*VLOOKUP(IF(ISBLANK($A61),$B61,$A61),Radionuclide_specific,8,FALSE)*VLOOKUP($B$41,Other_regional_data,8,FALSE)*Other_F_local</f>
        <v>0</v>
      </c>
      <c r="F61" s="47">
        <f>'Intermediate calcs'!J29*VLOOKUP($B$41,Other_regional_data,3,FALSE)*VLOOKUP(IF(ISBLANK($A61),$B61,$A61),Radionuclide_specific,8,FALSE)*VLOOKUP($B$41,Other_regional_data,9,FALSE)*Other_F_local</f>
        <v>1.0259205362409294E-11</v>
      </c>
      <c r="G61" s="46">
        <f t="shared" si="33"/>
        <v>0</v>
      </c>
      <c r="H61" s="46">
        <f t="shared" si="34"/>
        <v>1.2029018712726558E-11</v>
      </c>
      <c r="I61" s="47">
        <f>'Intermediate calcs'!E29*VLOOKUP(IF(ISBLANK($A61),$B61,$A61),Radionuclide_specific,8,FALSE)*VLOOKUP($B$41,Other_regional_data,4,FALSE)*Other_F_local</f>
        <v>2.8031249999999997E-9</v>
      </c>
      <c r="J61" s="47">
        <f>'Intermediate calcs'!F29*VLOOKUP(IF(ISBLANK($A61),$B61,$A61),Radionuclide_specific,8,FALSE)*VLOOKUP($B$41,Other_regional_data,4,FALSE)*Other_F_local</f>
        <v>5.6062499999999991E-12</v>
      </c>
      <c r="K61" s="46">
        <f t="shared" si="32"/>
        <v>1.8629999999999999E-8</v>
      </c>
      <c r="L61" s="46">
        <f t="shared" si="32"/>
        <v>1.8630000000000002E-10</v>
      </c>
      <c r="M61" s="47">
        <f t="shared" si="32"/>
        <v>3.8278655999999994E-12</v>
      </c>
      <c r="N61" s="47">
        <f t="shared" si="32"/>
        <v>7.6373279999999994E-15</v>
      </c>
      <c r="O61" s="46">
        <f t="shared" si="35"/>
        <v>2.1436952865599999E-8</v>
      </c>
      <c r="P61" s="46">
        <f t="shared" si="36"/>
        <v>2.0394290604072658E-10</v>
      </c>
    </row>
    <row r="62" spans="1:16">
      <c r="A62" s="4" t="s">
        <v>19</v>
      </c>
      <c r="B62" s="4"/>
      <c r="C62" s="46">
        <f>'Intermediate calcs'!G30*VLOOKUP($B$41,Other_regional_data,2,FALSE)*VLOOKUP(IF(ISBLANK($A62),$B62,$A62),Radionuclide_specific,8,FALSE)*VLOOKUP($B$41,Other_regional_data,8,FALSE)*Other_F_local</f>
        <v>0</v>
      </c>
      <c r="D62" s="46">
        <f>'Intermediate calcs'!H30*VLOOKUP($B$41,Other_regional_data,2,FALSE)*VLOOKUP(IF(ISBLANK($A62),$B62,$A62),Radionuclide_specific,8,FALSE)*VLOOKUP($B$41,Other_regional_data,9,FALSE)*Other_F_local</f>
        <v>3.699514630516147E-13</v>
      </c>
      <c r="E62" s="47">
        <f>'Intermediate calcs'!I30*VLOOKUP($B$41,Other_regional_data,3,FALSE)*VLOOKUP(IF(ISBLANK($A62),$B62,$A62),Radionuclide_specific,8,FALSE)*VLOOKUP($B$41,Other_regional_data,8,FALSE)*Other_F_local</f>
        <v>0</v>
      </c>
      <c r="F62" s="47">
        <f>'Intermediate calcs'!J30*VLOOKUP($B$41,Other_regional_data,3,FALSE)*VLOOKUP(IF(ISBLANK($A62),$B62,$A62),Radionuclide_specific,8,FALSE)*VLOOKUP($B$41,Other_regional_data,9,FALSE)*Other_F_local</f>
        <v>1.2119881117579176E-11</v>
      </c>
      <c r="G62" s="46">
        <f t="shared" si="33"/>
        <v>0</v>
      </c>
      <c r="H62" s="46">
        <f t="shared" si="34"/>
        <v>1.2489832580630791E-11</v>
      </c>
      <c r="I62" s="47">
        <f>'Intermediate calcs'!E30*VLOOKUP(IF(ISBLANK($A62),$B62,$A62),Radionuclide_specific,8,FALSE)*VLOOKUP($B$41,Other_regional_data,4,FALSE)*Other_F_local</f>
        <v>4.6799999999999996E-9</v>
      </c>
      <c r="J62" s="47">
        <f>'Intermediate calcs'!F30*VLOOKUP(IF(ISBLANK($A62),$B62,$A62),Radionuclide_specific,8,FALSE)*VLOOKUP($B$41,Other_regional_data,4,FALSE)*Other_F_local</f>
        <v>4.011428571428571E-12</v>
      </c>
      <c r="K62" s="46">
        <f t="shared" si="32"/>
        <v>3.2399999999999999E-8</v>
      </c>
      <c r="L62" s="46">
        <f t="shared" si="32"/>
        <v>3.2400000000000002E-10</v>
      </c>
      <c r="M62" s="47">
        <f t="shared" si="32"/>
        <v>3.8793168000000015E-14</v>
      </c>
      <c r="N62" s="47">
        <f t="shared" si="32"/>
        <v>3.3201359999999998E-17</v>
      </c>
      <c r="O62" s="46">
        <f t="shared" si="35"/>
        <v>3.7080038793167995E-8</v>
      </c>
      <c r="P62" s="46">
        <f t="shared" si="36"/>
        <v>3.4050129435341938E-10</v>
      </c>
    </row>
    <row r="63" spans="1:16">
      <c r="A63" s="4" t="s">
        <v>14</v>
      </c>
      <c r="B63" s="4"/>
      <c r="C63" s="46">
        <f>'Intermediate calcs'!G31*VLOOKUP($B$41,Other_regional_data,2,FALSE)*VLOOKUP(IF(ISBLANK($A63),$B63,$A63),Radionuclide_specific,8,FALSE)*VLOOKUP($B$41,Other_regional_data,8,FALSE)*Other_F_local</f>
        <v>0</v>
      </c>
      <c r="D63" s="46">
        <f>'Intermediate calcs'!H31*VLOOKUP($B$41,Other_regional_data,2,FALSE)*VLOOKUP(IF(ISBLANK($A63),$B63,$A63),Radionuclide_specific,8,FALSE)*VLOOKUP($B$41,Other_regional_data,9,FALSE)*Other_F_local</f>
        <v>4.5956858534279542E-12</v>
      </c>
      <c r="E63" s="47">
        <f>'Intermediate calcs'!I31*VLOOKUP($B$41,Other_regional_data,3,FALSE)*VLOOKUP(IF(ISBLANK($A63),$B63,$A63),Radionuclide_specific,8,FALSE)*VLOOKUP($B$41,Other_regional_data,8,FALSE)*Other_F_local</f>
        <v>0</v>
      </c>
      <c r="F63" s="47">
        <f>'Intermediate calcs'!J31*VLOOKUP($B$41,Other_regional_data,3,FALSE)*VLOOKUP(IF(ISBLANK($A63),$B63,$A63),Radionuclide_specific,8,FALSE)*VLOOKUP($B$41,Other_regional_data,9,FALSE)*Other_F_local</f>
        <v>9.0399954497751467E-12</v>
      </c>
      <c r="G63" s="46">
        <f t="shared" si="33"/>
        <v>0</v>
      </c>
      <c r="H63" s="46">
        <f t="shared" si="34"/>
        <v>1.3635681303203101E-11</v>
      </c>
      <c r="I63" s="47">
        <f>'Intermediate calcs'!E31*VLOOKUP(IF(ISBLANK($A63),$B63,$A63),Radionuclide_specific,8,FALSE)*VLOOKUP($B$41,Other_regional_data,4,FALSE)*Other_F_local</f>
        <v>1.9024390243902435E-10</v>
      </c>
      <c r="J63" s="47">
        <f>'Intermediate calcs'!F31*VLOOKUP(IF(ISBLANK($A63),$B63,$A63),Radionuclide_specific,8,FALSE)*VLOOKUP($B$41,Other_regional_data,4,FALSE)*Other_F_local</f>
        <v>4.6468085106382978E-13</v>
      </c>
      <c r="K63" s="46">
        <f t="shared" si="32"/>
        <v>7.5600000000000012E-9</v>
      </c>
      <c r="L63" s="46">
        <f t="shared" si="32"/>
        <v>7.5600000000000016E-11</v>
      </c>
      <c r="M63" s="47">
        <f t="shared" si="32"/>
        <v>8.4992544000000023E-12</v>
      </c>
      <c r="N63" s="47">
        <f t="shared" si="32"/>
        <v>2.0720232000000001E-14</v>
      </c>
      <c r="O63" s="46">
        <f t="shared" si="35"/>
        <v>7.7587431568390269E-9</v>
      </c>
      <c r="P63" s="46">
        <f t="shared" si="36"/>
        <v>8.9721082386266947E-11</v>
      </c>
    </row>
    <row r="64" spans="1:16">
      <c r="A64" s="4" t="s">
        <v>156</v>
      </c>
      <c r="B64" s="4"/>
      <c r="C64" s="46">
        <f>'Intermediate calcs'!G32*VLOOKUP($B$41,Other_regional_data,2,FALSE)*VLOOKUP(IF(ISBLANK($A64),$B64,$A64),Radionuclide_specific,8,FALSE)*VLOOKUP($B$41,Other_regional_data,8,FALSE)*Other_F_local</f>
        <v>0</v>
      </c>
      <c r="D64" s="46">
        <f>'Intermediate calcs'!H32*VLOOKUP($B$41,Other_regional_data,2,FALSE)*VLOOKUP(IF(ISBLANK($A64),$B64,$A64),Radionuclide_specific,8,FALSE)*VLOOKUP($B$41,Other_regional_data,9,FALSE)*Other_F_local</f>
        <v>1.0392715442305228E-13</v>
      </c>
      <c r="E64" s="47">
        <f>'Intermediate calcs'!I32*VLOOKUP($B$41,Other_regional_data,3,FALSE)*VLOOKUP(IF(ISBLANK($A64),$B64,$A64),Radionuclide_specific,8,FALSE)*VLOOKUP($B$41,Other_regional_data,8,FALSE)*Other_F_local</f>
        <v>0</v>
      </c>
      <c r="F64" s="47">
        <f>'Intermediate calcs'!J32*VLOOKUP($B$41,Other_regional_data,3,FALSE)*VLOOKUP(IF(ISBLANK($A64),$B64,$A64),Radionuclide_specific,8,FALSE)*VLOOKUP($B$41,Other_regional_data,9,FALSE)*Other_F_local</f>
        <v>2.3863803777778143E-12</v>
      </c>
      <c r="G64" s="46">
        <f t="shared" ref="G64:G65" si="57">C64+E64</f>
        <v>0</v>
      </c>
      <c r="H64" s="46">
        <f t="shared" ref="H64:H65" si="58">D64+F64</f>
        <v>2.4903075322008664E-12</v>
      </c>
      <c r="I64" s="47">
        <f>'Intermediate calcs'!E32*VLOOKUP(IF(ISBLANK($A64),$B64,$A64),Radionuclide_specific,8,FALSE)*VLOOKUP($B$41,Other_regional_data,4,FALSE)*Other_F_local</f>
        <v>5.1187499999999998E-11</v>
      </c>
      <c r="J64" s="47">
        <f>'Intermediate calcs'!F32*VLOOKUP(IF(ISBLANK($A64),$B64,$A64),Radionuclide_specific,8,FALSE)*VLOOKUP($B$41,Other_regional_data,4,FALSE)*Other_F_local</f>
        <v>2.5593749999999998E-14</v>
      </c>
      <c r="K64" s="46">
        <f t="shared" ref="K64:N76" si="59">K27</f>
        <v>3.1500000000000005E-9</v>
      </c>
      <c r="L64" s="46">
        <f t="shared" si="59"/>
        <v>3.1500000000000001E-11</v>
      </c>
      <c r="M64" s="47">
        <f t="shared" si="59"/>
        <v>5.4348840000000003E-12</v>
      </c>
      <c r="N64" s="47">
        <f t="shared" si="59"/>
        <v>2.7243215999999998E-15</v>
      </c>
      <c r="O64" s="46">
        <f t="shared" ref="O64:O65" si="60">G64+I64+K64+M64</f>
        <v>3.2066223840000007E-9</v>
      </c>
      <c r="P64" s="46">
        <f t="shared" ref="P64:P65" si="61">H64+J64+L64+N64</f>
        <v>3.4018625603800867E-11</v>
      </c>
    </row>
    <row r="65" spans="1:16">
      <c r="A65" s="4" t="s">
        <v>20</v>
      </c>
      <c r="B65" s="4"/>
      <c r="C65" s="46">
        <f>'Intermediate calcs'!G33*VLOOKUP($B$41,Other_regional_data,2,FALSE)*VLOOKUP(IF(ISBLANK($A65),$B65,$A65),Radionuclide_specific,8,FALSE)*VLOOKUP($B$41,Other_regional_data,8,FALSE)*Other_F_local</f>
        <v>0</v>
      </c>
      <c r="D65" s="46">
        <f>'Intermediate calcs'!H33*VLOOKUP($B$41,Other_regional_data,2,FALSE)*VLOOKUP(IF(ISBLANK($A65),$B65,$A65),Radionuclide_specific,8,FALSE)*VLOOKUP($B$41,Other_regional_data,9,FALSE)*Other_F_local</f>
        <v>1.1382497865381917E-13</v>
      </c>
      <c r="E65" s="47">
        <f>'Intermediate calcs'!I33*VLOOKUP($B$41,Other_regional_data,3,FALSE)*VLOOKUP(IF(ISBLANK($A65),$B65,$A65),Radionuclide_specific,8,FALSE)*VLOOKUP($B$41,Other_regional_data,8,FALSE)*Other_F_local</f>
        <v>0</v>
      </c>
      <c r="F65" s="47">
        <f>'Intermediate calcs'!J33*VLOOKUP($B$41,Other_regional_data,3,FALSE)*VLOOKUP(IF(ISBLANK($A65),$B65,$A65),Radionuclide_specific,8,FALSE)*VLOOKUP($B$41,Other_regional_data,9,FALSE)*Other_F_local</f>
        <v>2.6136546994709394E-12</v>
      </c>
      <c r="G65" s="46">
        <f t="shared" si="57"/>
        <v>0</v>
      </c>
      <c r="H65" s="46">
        <f t="shared" si="58"/>
        <v>2.7274796781247586E-12</v>
      </c>
      <c r="I65" s="47">
        <f>'Intermediate calcs'!E33*VLOOKUP(IF(ISBLANK($A65),$B65,$A65),Radionuclide_specific,8,FALSE)*VLOOKUP($B$41,Other_regional_data,4,FALSE)*Other_F_local</f>
        <v>5.60625E-11</v>
      </c>
      <c r="J65" s="47">
        <f>'Intermediate calcs'!F33*VLOOKUP(IF(ISBLANK($A65),$B65,$A65),Radionuclide_specific,8,FALSE)*VLOOKUP($B$41,Other_regional_data,4,FALSE)*Other_F_local</f>
        <v>2.8031249999999997E-14</v>
      </c>
      <c r="K65" s="46">
        <f t="shared" si="59"/>
        <v>3.4499999999999999E-9</v>
      </c>
      <c r="L65" s="46">
        <f t="shared" si="59"/>
        <v>3.4499999999999997E-11</v>
      </c>
      <c r="M65" s="47">
        <f t="shared" si="59"/>
        <v>3.8820599999999997E-12</v>
      </c>
      <c r="N65" s="47">
        <f t="shared" si="59"/>
        <v>1.9459439999999999E-15</v>
      </c>
      <c r="O65" s="46">
        <f t="shared" si="60"/>
        <v>3.5099445599999996E-9</v>
      </c>
      <c r="P65" s="46">
        <f t="shared" si="61"/>
        <v>3.7257456872124755E-11</v>
      </c>
    </row>
    <row r="66" spans="1:16">
      <c r="A66" s="4"/>
      <c r="B66" s="4" t="s">
        <v>29</v>
      </c>
      <c r="C66" s="46">
        <f>'Intermediate calcs'!G34*VLOOKUP($B$41,Other_regional_data,2,FALSE)*VLOOKUP(IF(ISBLANK($A66),$B66,$A66),Radionuclide_specific,8,FALSE)*VLOOKUP($B$41,Other_regional_data,8,FALSE)*Other_F_local</f>
        <v>0</v>
      </c>
      <c r="D66" s="46">
        <f>'Intermediate calcs'!H34*VLOOKUP($B$41,Other_regional_data,2,FALSE)*VLOOKUP(IF(ISBLANK($A66),$B66,$A66),Radionuclide_specific,8,FALSE)*VLOOKUP($B$41,Other_regional_data,9,FALSE)*Other_F_local</f>
        <v>3.7721569218440957E-12</v>
      </c>
      <c r="E66" s="47">
        <f>'Intermediate calcs'!I34*VLOOKUP($B$41,Other_regional_data,3,FALSE)*VLOOKUP(IF(ISBLANK($A66),$B66,$A66),Radionuclide_specific,8,FALSE)*VLOOKUP($B$41,Other_regional_data,8,FALSE)*Other_F_local</f>
        <v>0</v>
      </c>
      <c r="F66" s="47">
        <f>'Intermediate calcs'!J34*VLOOKUP($B$41,Other_regional_data,3,FALSE)*VLOOKUP(IF(ISBLANK($A66),$B66,$A66),Radionuclide_specific,8,FALSE)*VLOOKUP($B$41,Other_regional_data,9,FALSE)*Other_F_local</f>
        <v>9.5996850176829811E-12</v>
      </c>
      <c r="G66" s="46">
        <f t="shared" si="33"/>
        <v>0</v>
      </c>
      <c r="H66" s="46">
        <f t="shared" si="34"/>
        <v>1.3371841939527076E-11</v>
      </c>
      <c r="I66" s="47">
        <f>'Intermediate calcs'!E34*VLOOKUP(IF(ISBLANK($A66),$B66,$A66),Radionuclide_specific,8,FALSE)*VLOOKUP($B$41,Other_regional_data,4,FALSE)*Other_F_local</f>
        <v>1.1212499999999999E-10</v>
      </c>
      <c r="J66" s="47">
        <f>'Intermediate calcs'!F34*VLOOKUP(IF(ISBLANK($A66),$B66,$A66),Radionuclide_specific,8,FALSE)*VLOOKUP($B$41,Other_regional_data,4,FALSE)*Other_F_local</f>
        <v>5.6062499999999995E-14</v>
      </c>
      <c r="K66" s="46">
        <f t="shared" si="59"/>
        <v>1.8629999999999999E-8</v>
      </c>
      <c r="L66" s="46">
        <f t="shared" si="59"/>
        <v>1.8630000000000002E-10</v>
      </c>
      <c r="M66" s="47">
        <f t="shared" si="59"/>
        <v>0</v>
      </c>
      <c r="N66" s="47">
        <f t="shared" si="59"/>
        <v>0</v>
      </c>
      <c r="O66" s="46">
        <f t="shared" si="35"/>
        <v>1.8742125E-8</v>
      </c>
      <c r="P66" s="46">
        <f t="shared" si="36"/>
        <v>1.9972790443952709E-10</v>
      </c>
    </row>
    <row r="67" spans="1:16">
      <c r="A67" s="4"/>
      <c r="B67" s="4" t="s">
        <v>108</v>
      </c>
      <c r="C67" s="46">
        <f>'Intermediate calcs'!G35*VLOOKUP($B$41,Other_regional_data,2,FALSE)*VLOOKUP(IF(ISBLANK($A67),$B67,$A67),Radionuclide_specific,8,FALSE)*VLOOKUP($B$41,Other_regional_data,8,FALSE)*Other_F_local</f>
        <v>0</v>
      </c>
      <c r="D67" s="46">
        <f>'Intermediate calcs'!H35*VLOOKUP($B$41,Other_regional_data,2,FALSE)*VLOOKUP(IF(ISBLANK($A67),$B67,$A67),Radionuclide_specific,8,FALSE)*VLOOKUP($B$41,Other_regional_data,9,FALSE)*Other_F_local</f>
        <v>0</v>
      </c>
      <c r="E67" s="47">
        <f>'Intermediate calcs'!I35*VLOOKUP($B$41,Other_regional_data,3,FALSE)*VLOOKUP(IF(ISBLANK($A67),$B67,$A67),Radionuclide_specific,8,FALSE)*VLOOKUP($B$41,Other_regional_data,8,FALSE)*Other_F_local</f>
        <v>0</v>
      </c>
      <c r="F67" s="47">
        <f>'Intermediate calcs'!J35*VLOOKUP($B$41,Other_regional_data,3,FALSE)*VLOOKUP(IF(ISBLANK($A67),$B67,$A67),Radionuclide_specific,8,FALSE)*VLOOKUP($B$41,Other_regional_data,9,FALSE)*Other_F_local</f>
        <v>0</v>
      </c>
      <c r="G67" s="46">
        <f t="shared" si="33"/>
        <v>0</v>
      </c>
      <c r="H67" s="46">
        <f t="shared" si="34"/>
        <v>0</v>
      </c>
      <c r="I67" s="47">
        <f>'Intermediate calcs'!E35*VLOOKUP(IF(ISBLANK($A67),$B67,$A67),Radionuclide_specific,8,FALSE)*VLOOKUP($B$41,Other_regional_data,4,FALSE)*Other_F_local</f>
        <v>2.6203125000000001E-13</v>
      </c>
      <c r="J67" s="47">
        <f>'Intermediate calcs'!F35*VLOOKUP(IF(ISBLANK($A67),$B67,$A67),Radionuclide_specific,8,FALSE)*VLOOKUP($B$41,Other_regional_data,4,FALSE)*Other_F_local</f>
        <v>1.3101562500000001E-16</v>
      </c>
      <c r="K67" s="46">
        <f t="shared" si="59"/>
        <v>1.1610000000000002E-11</v>
      </c>
      <c r="L67" s="46">
        <f t="shared" si="59"/>
        <v>1.1610000000000001E-13</v>
      </c>
      <c r="M67" s="47">
        <f t="shared" si="59"/>
        <v>8.0115480000000007E-9</v>
      </c>
      <c r="N67" s="47">
        <f t="shared" si="59"/>
        <v>4.0159152000000002E-12</v>
      </c>
      <c r="O67" s="46">
        <f t="shared" si="35"/>
        <v>8.0234200312500001E-9</v>
      </c>
      <c r="P67" s="46">
        <f t="shared" si="36"/>
        <v>4.1321462156250001E-12</v>
      </c>
    </row>
    <row r="68" spans="1:16">
      <c r="A68" s="4"/>
      <c r="B68" s="4" t="s">
        <v>109</v>
      </c>
      <c r="C68" s="46">
        <f>'Intermediate calcs'!G36*VLOOKUP($B$41,Other_regional_data,2,FALSE)*VLOOKUP(IF(ISBLANK($A68),$B68,$A68),Radionuclide_specific,8,FALSE)*VLOOKUP($B$41,Other_regional_data,8,FALSE)*Other_F_local</f>
        <v>0</v>
      </c>
      <c r="D68" s="46">
        <f>'Intermediate calcs'!H36*VLOOKUP($B$41,Other_regional_data,2,FALSE)*VLOOKUP(IF(ISBLANK($A68),$B68,$A68),Radionuclide_specific,8,FALSE)*VLOOKUP($B$41,Other_regional_data,9,FALSE)*Other_F_local</f>
        <v>2.4084289578420906E-14</v>
      </c>
      <c r="E68" s="47">
        <f>'Intermediate calcs'!I36*VLOOKUP($B$41,Other_regional_data,3,FALSE)*VLOOKUP(IF(ISBLANK($A68),$B68,$A68),Radionuclide_specific,8,FALSE)*VLOOKUP($B$41,Other_regional_data,8,FALSE)*Other_F_local</f>
        <v>0</v>
      </c>
      <c r="F68" s="47">
        <f>'Intermediate calcs'!J36*VLOOKUP($B$41,Other_regional_data,3,FALSE)*VLOOKUP(IF(ISBLANK($A68),$B68,$A68),Radionuclide_specific,8,FALSE)*VLOOKUP($B$41,Other_regional_data,9,FALSE)*Other_F_local</f>
        <v>7.8760110732533452E-13</v>
      </c>
      <c r="G68" s="46">
        <f t="shared" si="33"/>
        <v>0</v>
      </c>
      <c r="H68" s="46">
        <f t="shared" si="34"/>
        <v>8.1168539690375545E-13</v>
      </c>
      <c r="I68" s="47">
        <f>'Intermediate calcs'!E36*VLOOKUP(IF(ISBLANK($A68),$B68,$A68),Radionuclide_specific,8,FALSE)*VLOOKUP($B$41,Other_regional_data,4,FALSE)*Other_F_local</f>
        <v>1.755E-11</v>
      </c>
      <c r="J68" s="47">
        <f>'Intermediate calcs'!F36*VLOOKUP(IF(ISBLANK($A68),$B68,$A68),Radionuclide_specific,8,FALSE)*VLOOKUP($B$41,Other_regional_data,4,FALSE)*Other_F_local</f>
        <v>8.7749999999999992E-15</v>
      </c>
      <c r="K68" s="46">
        <f t="shared" si="59"/>
        <v>1.08E-9</v>
      </c>
      <c r="L68" s="46">
        <f t="shared" si="59"/>
        <v>1.0799999999999999E-11</v>
      </c>
      <c r="M68" s="47">
        <f t="shared" si="59"/>
        <v>1.8173159999999999E-11</v>
      </c>
      <c r="N68" s="47">
        <f t="shared" si="59"/>
        <v>9.1095839999999993E-15</v>
      </c>
      <c r="O68" s="46">
        <f t="shared" si="35"/>
        <v>1.11572316E-9</v>
      </c>
      <c r="P68" s="46">
        <f t="shared" si="36"/>
        <v>1.1629569980903755E-11</v>
      </c>
    </row>
    <row r="69" spans="1:16">
      <c r="A69" s="4"/>
      <c r="B69" s="4" t="s">
        <v>110</v>
      </c>
      <c r="C69" s="46">
        <f>'Intermediate calcs'!G37*VLOOKUP($B$41,Other_regional_data,2,FALSE)*VLOOKUP(IF(ISBLANK($A69),$B69,$A69),Radionuclide_specific,8,FALSE)*VLOOKUP($B$41,Other_regional_data,8,FALSE)*Other_F_local</f>
        <v>0</v>
      </c>
      <c r="D69" s="46">
        <f>'Intermediate calcs'!H37*VLOOKUP($B$41,Other_regional_data,2,FALSE)*VLOOKUP(IF(ISBLANK($A69),$B69,$A69),Radionuclide_specific,8,FALSE)*VLOOKUP($B$41,Other_regional_data,9,FALSE)*Other_F_local</f>
        <v>6.1034502507503244E-17</v>
      </c>
      <c r="E69" s="47">
        <f>'Intermediate calcs'!I37*VLOOKUP($B$41,Other_regional_data,3,FALSE)*VLOOKUP(IF(ISBLANK($A69),$B69,$A69),Radionuclide_specific,8,FALSE)*VLOOKUP($B$41,Other_regional_data,8,FALSE)*Other_F_local</f>
        <v>0</v>
      </c>
      <c r="F69" s="47">
        <f>'Intermediate calcs'!J37*VLOOKUP($B$41,Other_regional_data,3,FALSE)*VLOOKUP(IF(ISBLANK($A69),$B69,$A69),Radionuclide_specific,8,FALSE)*VLOOKUP($B$41,Other_regional_data,9,FALSE)*Other_F_local</f>
        <v>2.051841072481859E-15</v>
      </c>
      <c r="G69" s="46">
        <f t="shared" si="33"/>
        <v>0</v>
      </c>
      <c r="H69" s="46">
        <f t="shared" si="34"/>
        <v>2.1128755749893623E-15</v>
      </c>
      <c r="I69" s="47">
        <f>'Intermediate calcs'!E37*VLOOKUP(IF(ISBLANK($A69),$B69,$A69),Radionuclide_specific,8,FALSE)*VLOOKUP($B$41,Other_regional_data,4,FALSE)*Other_F_local</f>
        <v>6.0937499999999983E-12</v>
      </c>
      <c r="J69" s="47">
        <f>'Intermediate calcs'!F37*VLOOKUP(IF(ISBLANK($A69),$B69,$A69),Radionuclide_specific,8,FALSE)*VLOOKUP($B$41,Other_regional_data,4,FALSE)*Other_F_local</f>
        <v>3.046875E-15</v>
      </c>
      <c r="K69" s="46">
        <f t="shared" si="59"/>
        <v>1.6200000000000001E-10</v>
      </c>
      <c r="L69" s="46">
        <f t="shared" si="59"/>
        <v>1.6200000000000002E-12</v>
      </c>
      <c r="M69" s="47">
        <f t="shared" si="59"/>
        <v>1.1518200000000001E-9</v>
      </c>
      <c r="N69" s="47">
        <f t="shared" si="59"/>
        <v>5.7736800000000005E-13</v>
      </c>
      <c r="O69" s="46">
        <f t="shared" si="35"/>
        <v>1.31991375E-9</v>
      </c>
      <c r="P69" s="46">
        <f t="shared" si="36"/>
        <v>2.2025277505749897E-12</v>
      </c>
    </row>
    <row r="70" spans="1:16">
      <c r="A70" s="4" t="s">
        <v>111</v>
      </c>
      <c r="B70" s="4"/>
      <c r="C70" s="46">
        <f>'Intermediate calcs'!G38*VLOOKUP($B$41,Other_regional_data,2,FALSE)*VLOOKUP(IF(ISBLANK($A70),$B70,$A70),Radionuclide_specific,8,FALSE)*VLOOKUP($B$41,Other_regional_data,8,FALSE)*Other_F_local</f>
        <v>0</v>
      </c>
      <c r="D70" s="46">
        <f>'Intermediate calcs'!H38*VLOOKUP($B$41,Other_regional_data,2,FALSE)*VLOOKUP(IF(ISBLANK($A70),$B70,$A70),Radionuclide_specific,8,FALSE)*VLOOKUP($B$41,Other_regional_data,9,FALSE)*Other_F_local</f>
        <v>1.7002290248613682E-13</v>
      </c>
      <c r="E70" s="47">
        <f>'Intermediate calcs'!I38*VLOOKUP($B$41,Other_regional_data,3,FALSE)*VLOOKUP(IF(ISBLANK($A70),$B70,$A70),Radionuclide_specific,8,FALSE)*VLOOKUP($B$41,Other_regional_data,8,FALSE)*Other_F_local</f>
        <v>0</v>
      </c>
      <c r="F70" s="47">
        <f>'Intermediate calcs'!J38*VLOOKUP($B$41,Other_regional_data,3,FALSE)*VLOOKUP(IF(ISBLANK($A70),$B70,$A70),Radionuclide_specific,8,FALSE)*VLOOKUP($B$41,Other_regional_data,9,FALSE)*Other_F_local</f>
        <v>8.0140749135342177E-13</v>
      </c>
      <c r="G70" s="46">
        <f t="shared" ref="G70" si="62">C70+E70</f>
        <v>0</v>
      </c>
      <c r="H70" s="46">
        <f t="shared" ref="H70" si="63">D70+F70</f>
        <v>9.7143039383955851E-13</v>
      </c>
      <c r="I70" s="47">
        <f>'Intermediate calcs'!E38*VLOOKUP(IF(ISBLANK($A70),$B70,$A70),Radionuclide_specific,8,FALSE)*VLOOKUP($B$41,Other_regional_data,4,FALSE)*Other_F_local</f>
        <v>9.1636363636363642E-12</v>
      </c>
      <c r="J70" s="47">
        <f>'Intermediate calcs'!F38*VLOOKUP(IF(ISBLANK($A70),$B70,$A70),Radionuclide_specific,8,FALSE)*VLOOKUP($B$41,Other_regional_data,4,FALSE)*Other_F_local</f>
        <v>8.9490731707317092E-14</v>
      </c>
      <c r="K70" s="46">
        <f t="shared" si="59"/>
        <v>7.3500000000000015E-10</v>
      </c>
      <c r="L70" s="46">
        <f t="shared" si="59"/>
        <v>7.3500000000000008E-12</v>
      </c>
      <c r="M70" s="47">
        <f t="shared" si="59"/>
        <v>6.3161424000000005E-15</v>
      </c>
      <c r="N70" s="47">
        <f t="shared" si="59"/>
        <v>6.164251200000002E-17</v>
      </c>
      <c r="O70" s="46">
        <f t="shared" ref="O70" si="64">G70+I70+K70+M70</f>
        <v>7.4416995250603653E-10</v>
      </c>
      <c r="P70" s="46">
        <f t="shared" ref="P70" si="65">H70+J70+L70+N70</f>
        <v>8.4109827680588764E-12</v>
      </c>
    </row>
    <row r="71" spans="1:16">
      <c r="A71" s="4" t="s">
        <v>30</v>
      </c>
      <c r="B71" s="4"/>
      <c r="C71" s="46">
        <f>'Intermediate calcs'!G39*VLOOKUP($B$41,Other_regional_data,2,FALSE)*VLOOKUP(IF(ISBLANK($A71),$B71,$A71),Radionuclide_specific,8,FALSE)*VLOOKUP($B$41,Other_regional_data,8,FALSE)*Other_F_local</f>
        <v>0</v>
      </c>
      <c r="D71" s="46">
        <f>'Intermediate calcs'!H39*VLOOKUP($B$41,Other_regional_data,2,FALSE)*VLOOKUP(IF(ISBLANK($A71),$B71,$A71),Radionuclide_specific,8,FALSE)*VLOOKUP($B$41,Other_regional_data,9,FALSE)*Other_F_local</f>
        <v>1.561434818750236E-13</v>
      </c>
      <c r="E71" s="47">
        <f>'Intermediate calcs'!I39*VLOOKUP($B$41,Other_regional_data,3,FALSE)*VLOOKUP(IF(ISBLANK($A71),$B71,$A71),Radionuclide_specific,8,FALSE)*VLOOKUP($B$41,Other_regional_data,8,FALSE)*Other_F_local</f>
        <v>0</v>
      </c>
      <c r="F71" s="47">
        <f>'Intermediate calcs'!J39*VLOOKUP($B$41,Other_regional_data,3,FALSE)*VLOOKUP(IF(ISBLANK($A71),$B71,$A71),Radionuclide_specific,8,FALSE)*VLOOKUP($B$41,Other_regional_data,9,FALSE)*Other_F_local</f>
        <v>7.359864716511016E-13</v>
      </c>
      <c r="G71" s="46">
        <f t="shared" si="33"/>
        <v>0</v>
      </c>
      <c r="H71" s="46">
        <f t="shared" si="34"/>
        <v>8.9212995352612517E-13</v>
      </c>
      <c r="I71" s="47">
        <f>'Intermediate calcs'!E39*VLOOKUP(IF(ISBLANK($A71),$B71,$A71),Radionuclide_specific,8,FALSE)*VLOOKUP($B$41,Other_regional_data,4,FALSE)*Other_F_local</f>
        <v>8.415584415584416E-12</v>
      </c>
      <c r="J71" s="47">
        <f>'Intermediate calcs'!F39*VLOOKUP(IF(ISBLANK($A71),$B71,$A71),Radionuclide_specific,8,FALSE)*VLOOKUP($B$41,Other_regional_data,4,FALSE)*Other_F_local</f>
        <v>8.2185365853658542E-14</v>
      </c>
      <c r="K71" s="46">
        <f t="shared" si="59"/>
        <v>6.7500000000000005E-10</v>
      </c>
      <c r="L71" s="46">
        <f t="shared" si="59"/>
        <v>6.7499999999999993E-12</v>
      </c>
      <c r="M71" s="47">
        <f t="shared" si="59"/>
        <v>4.5592632000000009E-15</v>
      </c>
      <c r="N71" s="47">
        <f t="shared" si="59"/>
        <v>4.4496216000000007E-17</v>
      </c>
      <c r="O71" s="46">
        <f t="shared" si="35"/>
        <v>6.8342014367878445E-10</v>
      </c>
      <c r="P71" s="46">
        <f t="shared" si="36"/>
        <v>7.7243598155957843E-12</v>
      </c>
    </row>
    <row r="72" spans="1:16">
      <c r="A72" s="4"/>
      <c r="B72" s="4" t="s">
        <v>31</v>
      </c>
      <c r="C72" s="46">
        <f>'Intermediate calcs'!G40*VLOOKUP($B$41,Other_regional_data,2,FALSE)*VLOOKUP(IF(ISBLANK($A72),$B72,$A72),Radionuclide_specific,8,FALSE)*VLOOKUP($B$41,Other_regional_data,8,FALSE)*Other_F_local</f>
        <v>0</v>
      </c>
      <c r="D72" s="46">
        <f>'Intermediate calcs'!H40*VLOOKUP($B$41,Other_regional_data,2,FALSE)*VLOOKUP(IF(ISBLANK($A72),$B72,$A72),Radionuclide_specific,8,FALSE)*VLOOKUP($B$41,Other_regional_data,9,FALSE)*Other_F_local</f>
        <v>7.1506475432614738E-16</v>
      </c>
      <c r="E72" s="47">
        <f>'Intermediate calcs'!I40*VLOOKUP($B$41,Other_regional_data,3,FALSE)*VLOOKUP(IF(ISBLANK($A72),$B72,$A72),Radionuclide_specific,8,FALSE)*VLOOKUP($B$41,Other_regional_data,8,FALSE)*Other_F_local</f>
        <v>0</v>
      </c>
      <c r="F72" s="47">
        <f>'Intermediate calcs'!J40*VLOOKUP($B$41,Other_regional_data,3,FALSE)*VLOOKUP(IF(ISBLANK($A72),$B72,$A72),Radionuclide_specific,8,FALSE)*VLOOKUP($B$41,Other_regional_data,9,FALSE)*Other_F_local</f>
        <v>2.3904160900321779E-14</v>
      </c>
      <c r="G72" s="46">
        <f t="shared" si="33"/>
        <v>0</v>
      </c>
      <c r="H72" s="46">
        <f t="shared" si="34"/>
        <v>2.4619225654647927E-14</v>
      </c>
      <c r="I72" s="47">
        <f>'Intermediate calcs'!E40*VLOOKUP(IF(ISBLANK($A72),$B72,$A72),Radionuclide_specific,8,FALSE)*VLOOKUP($B$41,Other_regional_data,4,FALSE)*Other_F_local</f>
        <v>3.9740259740259749E-12</v>
      </c>
      <c r="J72" s="47">
        <f>'Intermediate calcs'!F40*VLOOKUP(IF(ISBLANK($A72),$B72,$A72),Radionuclide_specific,8,FALSE)*VLOOKUP($B$41,Other_regional_data,4,FALSE)*Other_F_local</f>
        <v>3.8809756097560978E-14</v>
      </c>
      <c r="K72" s="46">
        <f t="shared" si="59"/>
        <v>5.0999999999999998E-11</v>
      </c>
      <c r="L72" s="46">
        <f t="shared" si="59"/>
        <v>5.0999999999999995E-13</v>
      </c>
      <c r="M72" s="47">
        <f t="shared" si="59"/>
        <v>8.0730216000000012E-14</v>
      </c>
      <c r="N72" s="47">
        <f t="shared" si="59"/>
        <v>7.8788808000000002E-16</v>
      </c>
      <c r="O72" s="46">
        <f t="shared" si="35"/>
        <v>5.5054756190025978E-11</v>
      </c>
      <c r="P72" s="46">
        <f t="shared" si="36"/>
        <v>5.7421686983220878E-13</v>
      </c>
    </row>
    <row r="73" spans="1:16">
      <c r="A73" s="4"/>
      <c r="B73" s="4" t="s">
        <v>32</v>
      </c>
      <c r="C73" s="46">
        <f>'Intermediate calcs'!G41*VLOOKUP($B$41,Other_regional_data,2,FALSE)*VLOOKUP(IF(ISBLANK($A73),$B73,$A73),Radionuclide_specific,8,FALSE)*VLOOKUP($B$41,Other_regional_data,8,FALSE)*Other_F_local</f>
        <v>0</v>
      </c>
      <c r="D73" s="46">
        <f>'Intermediate calcs'!H41*VLOOKUP($B$41,Other_regional_data,2,FALSE)*VLOOKUP(IF(ISBLANK($A73),$B73,$A73),Radionuclide_specific,8,FALSE)*VLOOKUP($B$41,Other_regional_data,9,FALSE)*Other_F_local</f>
        <v>0</v>
      </c>
      <c r="E73" s="47">
        <f>'Intermediate calcs'!I41*VLOOKUP($B$41,Other_regional_data,3,FALSE)*VLOOKUP(IF(ISBLANK($A73),$B73,$A73),Radionuclide_specific,8,FALSE)*VLOOKUP($B$41,Other_regional_data,8,FALSE)*Other_F_local</f>
        <v>0</v>
      </c>
      <c r="F73" s="47">
        <f>'Intermediate calcs'!J41*VLOOKUP($B$41,Other_regional_data,3,FALSE)*VLOOKUP(IF(ISBLANK($A73),$B73,$A73),Radionuclide_specific,8,FALSE)*VLOOKUP($B$41,Other_regional_data,9,FALSE)*Other_F_local</f>
        <v>0</v>
      </c>
      <c r="G73" s="46">
        <f t="shared" si="33"/>
        <v>0</v>
      </c>
      <c r="H73" s="46">
        <f t="shared" si="34"/>
        <v>0</v>
      </c>
      <c r="I73" s="47">
        <f>'Intermediate calcs'!E41*VLOOKUP(IF(ISBLANK($A73),$B73,$A73),Radionuclide_specific,8,FALSE)*VLOOKUP($B$41,Other_regional_data,4,FALSE)*Other_F_local</f>
        <v>0</v>
      </c>
      <c r="J73" s="47">
        <f>'Intermediate calcs'!F41*VLOOKUP(IF(ISBLANK($A73),$B73,$A73),Radionuclide_specific,8,FALSE)*VLOOKUP($B$41,Other_regional_data,4,FALSE)*Other_F_local</f>
        <v>0</v>
      </c>
      <c r="K73" s="46">
        <f t="shared" si="59"/>
        <v>0</v>
      </c>
      <c r="L73" s="46">
        <f t="shared" si="59"/>
        <v>0</v>
      </c>
      <c r="M73" s="47">
        <f t="shared" si="59"/>
        <v>1.1640672000000001E-12</v>
      </c>
      <c r="N73" s="47">
        <f t="shared" si="59"/>
        <v>1.1360736000000002E-14</v>
      </c>
      <c r="O73" s="46">
        <f t="shared" si="35"/>
        <v>1.1640672000000001E-12</v>
      </c>
      <c r="P73" s="46">
        <f t="shared" si="36"/>
        <v>1.1360736000000002E-14</v>
      </c>
    </row>
    <row r="74" spans="1:16">
      <c r="A74" s="4" t="s">
        <v>13</v>
      </c>
      <c r="C74" s="46">
        <f>'Intermediate calcs'!G42*VLOOKUP($B$41,Other_regional_data,2,FALSE)*VLOOKUP(IF(ISBLANK($A74),$B74,$A74),Radionuclide_specific,8,FALSE)*VLOOKUP($B$41,Other_regional_data,8,FALSE)*Other_F_local</f>
        <v>0</v>
      </c>
      <c r="D74" s="46">
        <f>'Intermediate calcs'!H42*VLOOKUP($B$41,Other_regional_data,2,FALSE)*VLOOKUP(IF(ISBLANK($A74),$B74,$A74),Radionuclide_specific,8,FALSE)*VLOOKUP($B$41,Other_regional_data,9,FALSE)*Other_F_local</f>
        <v>1.6225941361912927E-13</v>
      </c>
      <c r="E74" s="47">
        <f>'Intermediate calcs'!I42*VLOOKUP($B$41,Other_regional_data,3,FALSE)*VLOOKUP(IF(ISBLANK($A74),$B74,$A74),Radionuclide_specific,8,FALSE)*VLOOKUP($B$41,Other_regional_data,8,FALSE)*Other_F_local</f>
        <v>0</v>
      </c>
      <c r="F74" s="47">
        <f>'Intermediate calcs'!J42*VLOOKUP($B$41,Other_regional_data,3,FALSE)*VLOOKUP(IF(ISBLANK($A74),$B74,$A74),Radionuclide_specific,8,FALSE)*VLOOKUP($B$41,Other_regional_data,9,FALSE)*Other_F_local</f>
        <v>2.9205812367107202E-12</v>
      </c>
      <c r="G74" s="46">
        <f t="shared" si="33"/>
        <v>0</v>
      </c>
      <c r="H74" s="46">
        <f t="shared" si="34"/>
        <v>3.0828406503298494E-12</v>
      </c>
      <c r="I74" s="47">
        <f>'Intermediate calcs'!E42*VLOOKUP(IF(ISBLANK($A74),$B74,$A74),Radionuclide_specific,8,FALSE)*VLOOKUP($B$41,Other_regional_data,4,FALSE)*Other_F_local</f>
        <v>2.5215517241379308E-10</v>
      </c>
      <c r="J74" s="47">
        <f>'Intermediate calcs'!F42*VLOOKUP(IF(ISBLANK($A74),$B74,$A74),Radionuclide_specific,8,FALSE)*VLOOKUP($B$41,Other_regional_data,4,FALSE)*Other_F_local</f>
        <v>1.2086776859504131E-13</v>
      </c>
      <c r="K74" s="46">
        <f t="shared" si="59"/>
        <v>3.375E-9</v>
      </c>
      <c r="L74" s="46">
        <f t="shared" si="59"/>
        <v>3.3750000000000006E-11</v>
      </c>
      <c r="M74" s="47">
        <f t="shared" si="59"/>
        <v>2.5335072000000002E-12</v>
      </c>
      <c r="N74" s="47">
        <f t="shared" si="59"/>
        <v>1.2146112E-15</v>
      </c>
      <c r="O74" s="46">
        <f t="shared" si="35"/>
        <v>3.6296886796137931E-9</v>
      </c>
      <c r="P74" s="46">
        <f t="shared" si="36"/>
        <v>3.6954923030124901E-11</v>
      </c>
    </row>
    <row r="75" spans="1:16">
      <c r="A75" t="s">
        <v>18</v>
      </c>
      <c r="C75" s="46">
        <f>'Intermediate calcs'!G43*VLOOKUP($B$41,Other_regional_data,2,FALSE)*VLOOKUP(IF(ISBLANK($A75),$B75,$A75),Radionuclide_specific,8,FALSE)*VLOOKUP($B$41,Other_regional_data,8,FALSE)*Other_F_local</f>
        <v>0</v>
      </c>
      <c r="D75" s="46">
        <f>'Intermediate calcs'!H43*VLOOKUP($B$41,Other_regional_data,2,FALSE)*VLOOKUP(IF(ISBLANK($A75),$B75,$A75),Radionuclide_specific,8,FALSE)*VLOOKUP($B$41,Other_regional_data,9,FALSE)*Other_F_local</f>
        <v>1.6225941361912927E-13</v>
      </c>
      <c r="E75" s="47">
        <f>'Intermediate calcs'!I43*VLOOKUP($B$41,Other_regional_data,3,FALSE)*VLOOKUP(IF(ISBLANK($A75),$B75,$A75),Radionuclide_specific,8,FALSE)*VLOOKUP($B$41,Other_regional_data,8,FALSE)*Other_F_local</f>
        <v>0</v>
      </c>
      <c r="F75" s="47">
        <f>'Intermediate calcs'!J43*VLOOKUP($B$41,Other_regional_data,3,FALSE)*VLOOKUP(IF(ISBLANK($A75),$B75,$A75),Radionuclide_specific,8,FALSE)*VLOOKUP($B$41,Other_regional_data,9,FALSE)*Other_F_local</f>
        <v>2.9205812367107202E-12</v>
      </c>
      <c r="G75" s="46">
        <f t="shared" si="33"/>
        <v>0</v>
      </c>
      <c r="H75" s="46">
        <f t="shared" si="34"/>
        <v>3.0828406503298494E-12</v>
      </c>
      <c r="I75" s="47">
        <f>'Intermediate calcs'!E43*VLOOKUP(IF(ISBLANK($A75),$B75,$A75),Radionuclide_specific,8,FALSE)*VLOOKUP($B$41,Other_regional_data,4,FALSE)*Other_F_local</f>
        <v>2.5215517241379308E-10</v>
      </c>
      <c r="J75" s="47">
        <f>'Intermediate calcs'!F43*VLOOKUP(IF(ISBLANK($A75),$B75,$A75),Radionuclide_specific,8,FALSE)*VLOOKUP($B$41,Other_regional_data,4,FALSE)*Other_F_local</f>
        <v>1.2086776859504131E-13</v>
      </c>
      <c r="K75" s="46">
        <f t="shared" si="59"/>
        <v>3.375E-9</v>
      </c>
      <c r="L75" s="46">
        <f t="shared" si="59"/>
        <v>3.3750000000000006E-11</v>
      </c>
      <c r="M75" s="47">
        <f t="shared" si="59"/>
        <v>5.3614008000000006E-12</v>
      </c>
      <c r="N75" s="47">
        <f t="shared" si="59"/>
        <v>2.5703568000000008E-15</v>
      </c>
      <c r="O75" s="46">
        <f t="shared" si="35"/>
        <v>3.6325165732137931E-9</v>
      </c>
      <c r="P75" s="46">
        <f t="shared" si="36"/>
        <v>3.6956278775724897E-11</v>
      </c>
    </row>
    <row r="76" spans="1:16" s="114" customFormat="1">
      <c r="A76" s="91" t="s">
        <v>9</v>
      </c>
      <c r="B76" s="91"/>
      <c r="C76" s="89">
        <f>'Intermediate calcs'!G44*VLOOKUP($B$41,Other_regional_data,2,FALSE)*VLOOKUP(IF(ISBLANK($A76),$B76,$A76),Radionuclide_specific,8,FALSE)*VLOOKUP($B$41,Other_regional_data,8,FALSE)*Other_F_local</f>
        <v>0</v>
      </c>
      <c r="D76" s="89">
        <f>'Intermediate calcs'!H44*VLOOKUP($B$41,Other_regional_data,2,FALSE)*VLOOKUP(IF(ISBLANK($A76),$B76,$A76),Radionuclide_specific,8,FALSE)*VLOOKUP($B$41,Other_regional_data,9,FALSE)*Other_F_local</f>
        <v>1.8472610165870098E-13</v>
      </c>
      <c r="E76" s="90">
        <f>'Intermediate calcs'!I44*VLOOKUP($B$41,Other_regional_data,3,FALSE)*VLOOKUP(IF(ISBLANK($A76),$B76,$A76),Radionuclide_specific,8,FALSE)*VLOOKUP($B$41,Other_regional_data,8,FALSE)*Other_F_local</f>
        <v>0</v>
      </c>
      <c r="F76" s="90">
        <f>'Intermediate calcs'!J44*VLOOKUP($B$41,Other_regional_data,3,FALSE)*VLOOKUP(IF(ISBLANK($A76),$B76,$A76),Radionuclide_specific,8,FALSE)*VLOOKUP($B$41,Other_regional_data,9,FALSE)*Other_F_local</f>
        <v>2.4214273526183431E-12</v>
      </c>
      <c r="G76" s="89">
        <f t="shared" si="33"/>
        <v>0</v>
      </c>
      <c r="H76" s="89">
        <f t="shared" si="34"/>
        <v>2.6061534542770441E-12</v>
      </c>
      <c r="I76" s="90">
        <f>'Intermediate calcs'!E44*VLOOKUP(IF(ISBLANK($A76),$B76,$A76),Radionuclide_specific,8,FALSE)*VLOOKUP($B$41,Other_regional_data,4,FALSE)*Other_F_local</f>
        <v>2.7529411764705879E-9</v>
      </c>
      <c r="J76" s="90">
        <f>'Intermediate calcs'!F44*VLOOKUP(IF(ISBLANK($A76),$B76,$A76),Radionuclide_specific,8,FALSE)*VLOOKUP($B$41,Other_regional_data,4,FALSE)*Other_F_local</f>
        <v>1.5344262295081969E-12</v>
      </c>
      <c r="K76" s="89">
        <f t="shared" si="59"/>
        <v>2.7000000000000002E-9</v>
      </c>
      <c r="L76" s="89">
        <f t="shared" si="59"/>
        <v>2.7000000000000004E-11</v>
      </c>
      <c r="M76" s="90">
        <f t="shared" si="59"/>
        <v>1.7715456E-10</v>
      </c>
      <c r="N76" s="90">
        <f t="shared" si="59"/>
        <v>9.8642880000000008E-14</v>
      </c>
      <c r="O76" s="89">
        <f t="shared" si="35"/>
        <v>5.6300957364705881E-9</v>
      </c>
      <c r="P76" s="89">
        <f t="shared" si="36"/>
        <v>3.1239222563785248E-11</v>
      </c>
    </row>
    <row r="78" spans="1:16" s="113" customFormat="1" ht="12.75">
      <c r="A78" s="44" t="s">
        <v>297</v>
      </c>
      <c r="B78" s="44" t="s">
        <v>57</v>
      </c>
      <c r="C78" s="133" t="s">
        <v>153</v>
      </c>
      <c r="D78" s="133"/>
      <c r="E78" s="133"/>
      <c r="F78" s="133"/>
      <c r="G78" s="133"/>
      <c r="H78" s="133"/>
      <c r="I78" s="133"/>
      <c r="J78" s="133"/>
      <c r="K78" s="133" t="s">
        <v>154</v>
      </c>
      <c r="L78" s="133"/>
      <c r="M78" s="133"/>
      <c r="N78" s="133"/>
      <c r="O78" s="133" t="s">
        <v>64</v>
      </c>
      <c r="P78" s="133"/>
    </row>
    <row r="79" spans="1:16">
      <c r="A79" s="129" t="s">
        <v>149</v>
      </c>
      <c r="B79" s="129" t="s">
        <v>150</v>
      </c>
      <c r="C79" s="131" t="s">
        <v>197</v>
      </c>
      <c r="D79" s="131"/>
      <c r="E79" s="132" t="s">
        <v>209</v>
      </c>
      <c r="F79" s="132"/>
      <c r="G79" s="131" t="s">
        <v>210</v>
      </c>
      <c r="H79" s="131"/>
      <c r="I79" s="132" t="s">
        <v>211</v>
      </c>
      <c r="J79" s="132"/>
      <c r="K79" s="131" t="s">
        <v>201</v>
      </c>
      <c r="L79" s="131"/>
      <c r="M79" s="132" t="s">
        <v>202</v>
      </c>
      <c r="N79" s="132"/>
      <c r="O79" s="131" t="s">
        <v>212</v>
      </c>
      <c r="P79" s="131"/>
    </row>
    <row r="80" spans="1:16">
      <c r="A80" s="129"/>
      <c r="B80" s="129"/>
      <c r="C80" s="70" t="s">
        <v>73</v>
      </c>
      <c r="D80" s="70" t="s">
        <v>74</v>
      </c>
      <c r="E80" s="69" t="s">
        <v>73</v>
      </c>
      <c r="F80" s="69" t="s">
        <v>74</v>
      </c>
      <c r="G80" s="70" t="s">
        <v>73</v>
      </c>
      <c r="H80" s="70" t="s">
        <v>74</v>
      </c>
      <c r="I80" s="69" t="s">
        <v>73</v>
      </c>
      <c r="J80" s="69" t="s">
        <v>74</v>
      </c>
      <c r="K80" s="70" t="s">
        <v>73</v>
      </c>
      <c r="L80" s="70" t="s">
        <v>74</v>
      </c>
      <c r="M80" s="69" t="s">
        <v>73</v>
      </c>
      <c r="N80" s="69" t="s">
        <v>74</v>
      </c>
      <c r="O80" s="48" t="s">
        <v>73</v>
      </c>
      <c r="P80" s="48" t="s">
        <v>74</v>
      </c>
    </row>
    <row r="81" spans="1:16">
      <c r="A81" s="4" t="s">
        <v>33</v>
      </c>
      <c r="B81" s="4"/>
      <c r="C81" s="46">
        <f>'Intermediate calcs'!G12*VLOOKUP($B$78,Other_regional_data,2,FALSE)*VLOOKUP(IF(ISBLANK($A81),$B81,$A81),Radionuclide_specific,8,FALSE)*VLOOKUP($B$78,Other_regional_data,8,FALSE)*Other_F_local</f>
        <v>0</v>
      </c>
      <c r="D81" s="46">
        <f>'Intermediate calcs'!H12*VLOOKUP($B$78,Other_regional_data,2,FALSE)*VLOOKUP(IF(ISBLANK($A81),$B81,$A81),Radionuclide_specific,8,FALSE)*VLOOKUP($B$78,Other_regional_data,9,FALSE)*Other_F_local</f>
        <v>1.1904351368314039E-17</v>
      </c>
      <c r="E81" s="47">
        <f>'Intermediate calcs'!I12*VLOOKUP($B$78,Other_regional_data,3,FALSE)*VLOOKUP(IF(ISBLANK($A81),$B81,$A81),Radionuclide_specific,8,FALSE)*VLOOKUP($B$78,Other_regional_data,8,FALSE)*Other_F_local</f>
        <v>0</v>
      </c>
      <c r="F81" s="47">
        <f>'Intermediate calcs'!J12*VLOOKUP($B$78,Other_regional_data,3,FALSE)*VLOOKUP(IF(ISBLANK($A81),$B81,$A81),Radionuclide_specific,8,FALSE)*VLOOKUP($B$78,Other_regional_data,9,FALSE)*Other_F_local</f>
        <v>2.3217982127780339E-16</v>
      </c>
      <c r="G81" s="46">
        <f>C81+E81</f>
        <v>0</v>
      </c>
      <c r="H81" s="46">
        <f>D81+F81</f>
        <v>2.4408417264611745E-16</v>
      </c>
      <c r="I81" s="47">
        <f>'Intermediate calcs'!E12*VLOOKUP(IF(ISBLANK($A81),$B81,$A81),Radionuclide_specific,8,FALSE)*VLOOKUP($B$78,Other_regional_data,4,FALSE)*Other_F_local</f>
        <v>1.1934E-15</v>
      </c>
      <c r="J81" s="47">
        <f>'Intermediate calcs'!F12*VLOOKUP(IF(ISBLANK($A81),$B81,$A81),Radionuclide_specific,8,FALSE)*VLOOKUP($B$78,Other_regional_data,4,FALSE)*Other_F_local</f>
        <v>1.1933999999999998E-17</v>
      </c>
      <c r="K81" s="46">
        <f t="shared" ref="K81:N100" si="66">K44</f>
        <v>9E-13</v>
      </c>
      <c r="L81" s="46">
        <f t="shared" si="66"/>
        <v>8.9999999999999995E-15</v>
      </c>
      <c r="M81" s="47">
        <f t="shared" si="66"/>
        <v>0</v>
      </c>
      <c r="N81" s="47">
        <f t="shared" si="66"/>
        <v>0</v>
      </c>
      <c r="O81" s="46">
        <f>G81+I81+K81+M81</f>
        <v>9.0119339999999996E-13</v>
      </c>
      <c r="P81" s="46">
        <f>H81+J81+L81+N81</f>
        <v>9.2560181726461176E-15</v>
      </c>
    </row>
    <row r="82" spans="1:16">
      <c r="A82" s="4"/>
      <c r="B82" s="4" t="s">
        <v>43</v>
      </c>
      <c r="C82" s="46">
        <f>'Intermediate calcs'!G13*VLOOKUP($B$78,Other_regional_data,2,FALSE)*VLOOKUP(IF(ISBLANK($A82),$B82,$A82),Radionuclide_specific,8,FALSE)*VLOOKUP($B$78,Other_regional_data,8,FALSE)*Other_F_local</f>
        <v>0</v>
      </c>
      <c r="D82" s="46">
        <f>'Intermediate calcs'!H13*VLOOKUP($B$78,Other_regional_data,2,FALSE)*VLOOKUP(IF(ISBLANK($A82),$B82,$A82),Radionuclide_specific,8,FALSE)*VLOOKUP($B$78,Other_regional_data,9,FALSE)*Other_F_local</f>
        <v>6.1597875720204189E-17</v>
      </c>
      <c r="E82" s="47">
        <f>'Intermediate calcs'!I13*VLOOKUP($B$78,Other_regional_data,3,FALSE)*VLOOKUP(IF(ISBLANK($A82),$B82,$A82),Radionuclide_specific,8,FALSE)*VLOOKUP($B$78,Other_regional_data,8,FALSE)*Other_F_local</f>
        <v>0</v>
      </c>
      <c r="F82" s="47">
        <f>'Intermediate calcs'!J13*VLOOKUP($B$78,Other_regional_data,3,FALSE)*VLOOKUP(IF(ISBLANK($A82),$B82,$A82),Radionuclide_specific,8,FALSE)*VLOOKUP($B$78,Other_regional_data,9,FALSE)*Other_F_local</f>
        <v>1.2973804622010124E-17</v>
      </c>
      <c r="G82" s="46">
        <f t="shared" ref="G82:G113" si="67">C82+E82</f>
        <v>0</v>
      </c>
      <c r="H82" s="46">
        <f t="shared" ref="H82:H113" si="68">D82+F82</f>
        <v>7.457168034221431E-17</v>
      </c>
      <c r="I82" s="47">
        <f>'Intermediate calcs'!E13*VLOOKUP(IF(ISBLANK($A82),$B82,$A82),Radionuclide_specific,8,FALSE)*VLOOKUP($B$78,Other_regional_data,4,FALSE)*Other_F_local</f>
        <v>3.3693659999999994E-19</v>
      </c>
      <c r="J82" s="47">
        <f>'Intermediate calcs'!F13*VLOOKUP(IF(ISBLANK($A82),$B82,$A82),Radionuclide_specific,8,FALSE)*VLOOKUP($B$78,Other_regional_data,4,FALSE)*Other_F_local</f>
        <v>3.3693659999999994E-21</v>
      </c>
      <c r="K82" s="46">
        <f t="shared" si="66"/>
        <v>2.0999999999999999E-12</v>
      </c>
      <c r="L82" s="46">
        <f t="shared" si="66"/>
        <v>2.0999999999999999E-14</v>
      </c>
      <c r="M82" s="47">
        <f t="shared" si="66"/>
        <v>0</v>
      </c>
      <c r="N82" s="47">
        <f t="shared" si="66"/>
        <v>0</v>
      </c>
      <c r="O82" s="46">
        <f t="shared" ref="O82:O113" si="69">G82+I82+K82+M82</f>
        <v>2.1000003369366001E-12</v>
      </c>
      <c r="P82" s="46">
        <f t="shared" ref="P82:P113" si="70">H82+J82+L82+N82</f>
        <v>2.1074575049708213E-14</v>
      </c>
    </row>
    <row r="83" spans="1:16">
      <c r="A83" s="4" t="s">
        <v>10</v>
      </c>
      <c r="B83" s="4"/>
      <c r="C83" s="46">
        <f>'Intermediate calcs'!G14*VLOOKUP($B$78,Other_regional_data,2,FALSE)*VLOOKUP(IF(ISBLANK($A83),$B83,$A83),Radionuclide_specific,8,FALSE)*VLOOKUP($B$78,Other_regional_data,8,FALSE)*Other_F_local</f>
        <v>0</v>
      </c>
      <c r="D83" s="46">
        <f>'Intermediate calcs'!H14*VLOOKUP($B$78,Other_regional_data,2,FALSE)*VLOOKUP(IF(ISBLANK($A83),$B83,$A83),Radionuclide_specific,8,FALSE)*VLOOKUP($B$78,Other_regional_data,9,FALSE)*Other_F_local</f>
        <v>2.3179192519668427E-12</v>
      </c>
      <c r="E83" s="47">
        <f>'Intermediate calcs'!I14*VLOOKUP($B$78,Other_regional_data,3,FALSE)*VLOOKUP(IF(ISBLANK($A83),$B83,$A83),Radionuclide_specific,8,FALSE)*VLOOKUP($B$78,Other_regional_data,8,FALSE)*Other_F_local</f>
        <v>0</v>
      </c>
      <c r="F83" s="47">
        <f>'Intermediate calcs'!J14*VLOOKUP($B$78,Other_regional_data,3,FALSE)*VLOOKUP(IF(ISBLANK($A83),$B83,$A83),Radionuclide_specific,8,FALSE)*VLOOKUP($B$78,Other_regional_data,9,FALSE)*Other_F_local</f>
        <v>4.5359379461740435E-13</v>
      </c>
      <c r="G83" s="46">
        <f t="shared" si="67"/>
        <v>0</v>
      </c>
      <c r="H83" s="46">
        <f t="shared" si="68"/>
        <v>2.7715130465842472E-12</v>
      </c>
      <c r="I83" s="47">
        <f>'Intermediate calcs'!E14*VLOOKUP(IF(ISBLANK($A83),$B83,$A83),Radionuclide_specific,8,FALSE)*VLOOKUP($B$78,Other_regional_data,4,FALSE)*Other_F_local</f>
        <v>1.9718028197180284E-8</v>
      </c>
      <c r="J83" s="47">
        <f>'Intermediate calcs'!F14*VLOOKUP(IF(ISBLANK($A83),$B83,$A83),Radionuclide_specific,8,FALSE)*VLOOKUP($B$78,Other_regional_data,4,FALSE)*Other_F_local</f>
        <v>1.9670822942643393E-10</v>
      </c>
      <c r="K83" s="46">
        <f t="shared" si="66"/>
        <v>2.9E-11</v>
      </c>
      <c r="L83" s="46">
        <f t="shared" si="66"/>
        <v>2.8999999999999998E-13</v>
      </c>
      <c r="M83" s="47">
        <f t="shared" si="66"/>
        <v>1.3688568000000001E-17</v>
      </c>
      <c r="N83" s="47">
        <f t="shared" si="66"/>
        <v>1.3661136000000002E-19</v>
      </c>
      <c r="O83" s="46">
        <f t="shared" si="69"/>
        <v>1.9747028210868853E-8</v>
      </c>
      <c r="P83" s="46">
        <f t="shared" si="70"/>
        <v>1.9976974260962954E-10</v>
      </c>
    </row>
    <row r="84" spans="1:16">
      <c r="A84" s="4" t="s">
        <v>240</v>
      </c>
      <c r="B84" s="4"/>
      <c r="C84" s="46">
        <f>'Intermediate calcs'!G15*VLOOKUP($B$78,Other_regional_data,2,FALSE)*VLOOKUP(IF(ISBLANK($A84),$B84,$A84),Radionuclide_specific,8,FALSE)*VLOOKUP($B$78,Other_regional_data,8,FALSE)*Other_F_local</f>
        <v>0</v>
      </c>
      <c r="D84" s="46">
        <f>'Intermediate calcs'!H15*VLOOKUP($B$78,Other_regional_data,2,FALSE)*VLOOKUP(IF(ISBLANK($A84),$B84,$A84),Radionuclide_specific,8,FALSE)*VLOOKUP($B$78,Other_regional_data,9,FALSE)*Other_F_local</f>
        <v>6.1594592680836362E-14</v>
      </c>
      <c r="E84" s="47">
        <f>'Intermediate calcs'!I15*VLOOKUP($B$78,Other_regional_data,3,FALSE)*VLOOKUP(IF(ISBLANK($A84),$B84,$A84),Radionuclide_specific,8,FALSE)*VLOOKUP($B$78,Other_regional_data,8,FALSE)*Other_F_local</f>
        <v>0</v>
      </c>
      <c r="F84" s="47">
        <f>'Intermediate calcs'!J15*VLOOKUP($B$78,Other_regional_data,3,FALSE)*VLOOKUP(IF(ISBLANK($A84),$B84,$A84),Radionuclide_specific,8,FALSE)*VLOOKUP($B$78,Other_regional_data,9,FALSE)*Other_F_local</f>
        <v>5.1671494337107665E-14</v>
      </c>
      <c r="G84" s="46">
        <f t="shared" si="67"/>
        <v>0</v>
      </c>
      <c r="H84" s="46">
        <f t="shared" si="68"/>
        <v>1.1326608701794403E-13</v>
      </c>
      <c r="I84" s="47">
        <f>'Intermediate calcs'!E15*VLOOKUP(IF(ISBLANK($A84),$B84,$A84),Radionuclide_specific,8,FALSE)*VLOOKUP($B$78,Other_regional_data,4,FALSE)*Other_F_local</f>
        <v>5.2151394422310754E-11</v>
      </c>
      <c r="J84" s="47">
        <f>'Intermediate calcs'!F15*VLOOKUP(IF(ISBLANK($A84),$B84,$A84),Radionuclide_specific,8,FALSE)*VLOOKUP($B$78,Other_regional_data,4,FALSE)*Other_F_local</f>
        <v>4.7599999999999999E-13</v>
      </c>
      <c r="K84" s="46">
        <f t="shared" si="66"/>
        <v>2.0790000000000003E-11</v>
      </c>
      <c r="L84" s="46">
        <f t="shared" si="66"/>
        <v>2.0790000000000003E-13</v>
      </c>
      <c r="M84" s="47">
        <f t="shared" si="66"/>
        <v>5.7168720000000014E-16</v>
      </c>
      <c r="N84" s="47">
        <f t="shared" si="66"/>
        <v>5.2284960000000007E-18</v>
      </c>
      <c r="O84" s="46">
        <f t="shared" si="69"/>
        <v>7.2941966109510758E-11</v>
      </c>
      <c r="P84" s="46">
        <f t="shared" si="70"/>
        <v>7.9717131551394411E-13</v>
      </c>
    </row>
    <row r="85" spans="1:16">
      <c r="A85" s="4" t="s">
        <v>237</v>
      </c>
      <c r="B85" s="4"/>
      <c r="C85" s="46">
        <f>'Intermediate calcs'!G16*VLOOKUP($B$78,Other_regional_data,2,FALSE)*VLOOKUP(IF(ISBLANK($A85),$B85,$A85),Radionuclide_specific,8,FALSE)*VLOOKUP($B$78,Other_regional_data,8,FALSE)*Other_F_local</f>
        <v>0</v>
      </c>
      <c r="D85" s="46">
        <f>'Intermediate calcs'!H16*VLOOKUP($B$78,Other_regional_data,2,FALSE)*VLOOKUP(IF(ISBLANK($A85),$B85,$A85),Radionuclide_specific,8,FALSE)*VLOOKUP($B$78,Other_regional_data,9,FALSE)*Other_F_local</f>
        <v>1.3125282062785235E-14</v>
      </c>
      <c r="E85" s="47">
        <f>'Intermediate calcs'!I16*VLOOKUP($B$78,Other_regional_data,3,FALSE)*VLOOKUP(IF(ISBLANK($A85),$B85,$A85),Radionuclide_specific,8,FALSE)*VLOOKUP($B$78,Other_regional_data,8,FALSE)*Other_F_local</f>
        <v>0</v>
      </c>
      <c r="F85" s="47">
        <f>'Intermediate calcs'!J16*VLOOKUP($B$78,Other_regional_data,3,FALSE)*VLOOKUP(IF(ISBLANK($A85),$B85,$A85),Radionuclide_specific,8,FALSE)*VLOOKUP($B$78,Other_regional_data,9,FALSE)*Other_F_local</f>
        <v>4.9969297501168743E-14</v>
      </c>
      <c r="G85" s="46">
        <f t="shared" ref="G85" si="71">C85+E85</f>
        <v>0</v>
      </c>
      <c r="H85" s="46">
        <f t="shared" ref="H85" si="72">D85+F85</f>
        <v>6.3094579563953974E-14</v>
      </c>
      <c r="I85" s="47">
        <f>'Intermediate calcs'!E16*VLOOKUP(IF(ISBLANK($A85),$B85,$A85),Radionuclide_specific,8,FALSE)*VLOOKUP($B$78,Other_regional_data,4,FALSE)*Other_F_local</f>
        <v>5.6139534883720926E-12</v>
      </c>
      <c r="J85" s="47">
        <f>'Intermediate calcs'!F16*VLOOKUP(IF(ISBLANK($A85),$B85,$A85),Radionuclide_specific,8,FALSE)*VLOOKUP($B$78,Other_regional_data,4,FALSE)*Other_F_local</f>
        <v>3.5762962962962965E-15</v>
      </c>
      <c r="K85" s="46">
        <f t="shared" si="66"/>
        <v>1.2780000000000002E-11</v>
      </c>
      <c r="L85" s="46">
        <f t="shared" si="66"/>
        <v>1.278E-13</v>
      </c>
      <c r="M85" s="47">
        <f t="shared" si="66"/>
        <v>5.2281936000000011E-9</v>
      </c>
      <c r="N85" s="47">
        <f t="shared" si="66"/>
        <v>3.3316920000000003E-12</v>
      </c>
      <c r="O85" s="46">
        <f t="shared" ref="O85" si="73">G85+I85+K85+M85</f>
        <v>5.2465875534883735E-9</v>
      </c>
      <c r="P85" s="46">
        <f t="shared" ref="P85" si="74">H85+J85+L85+N85</f>
        <v>3.5261628758602505E-12</v>
      </c>
    </row>
    <row r="86" spans="1:16">
      <c r="A86" s="4" t="s">
        <v>236</v>
      </c>
      <c r="B86" s="4"/>
      <c r="C86" s="46">
        <f>'Intermediate calcs'!G17*VLOOKUP($B$78,Other_regional_data,2,FALSE)*VLOOKUP(IF(ISBLANK($A86),$B86,$A86),Radionuclide_specific,8,FALSE)*VLOOKUP($B$78,Other_regional_data,8,FALSE)*Other_F_local</f>
        <v>0</v>
      </c>
      <c r="D86" s="46">
        <f>'Intermediate calcs'!H17*VLOOKUP($B$78,Other_regional_data,2,FALSE)*VLOOKUP(IF(ISBLANK($A86),$B86,$A86),Radionuclide_specific,8,FALSE)*VLOOKUP($B$78,Other_regional_data,9,FALSE)*Other_F_local</f>
        <v>8.4427976903978473E-15</v>
      </c>
      <c r="E86" s="47">
        <f>'Intermediate calcs'!I17*VLOOKUP($B$78,Other_regional_data,3,FALSE)*VLOOKUP(IF(ISBLANK($A86),$B86,$A86),Radionuclide_specific,8,FALSE)*VLOOKUP($B$78,Other_regional_data,8,FALSE)*Other_F_local</f>
        <v>0</v>
      </c>
      <c r="F86" s="47">
        <f>'Intermediate calcs'!J17*VLOOKUP($B$78,Other_regional_data,3,FALSE)*VLOOKUP(IF(ISBLANK($A86),$B86,$A86),Radionuclide_specific,8,FALSE)*VLOOKUP($B$78,Other_regional_data,9,FALSE)*Other_F_local</f>
        <v>3.7385043585217676E-14</v>
      </c>
      <c r="G86" s="46">
        <f t="shared" ref="G86" si="75">C86+E86</f>
        <v>0</v>
      </c>
      <c r="H86" s="46">
        <f t="shared" ref="H86" si="76">D86+F86</f>
        <v>4.5827841275615526E-14</v>
      </c>
      <c r="I86" s="47">
        <f>'Intermediate calcs'!E17*VLOOKUP(IF(ISBLANK($A86),$B86,$A86),Radionuclide_specific,8,FALSE)*VLOOKUP($B$78,Other_regional_data,4,FALSE)*Other_F_local</f>
        <v>2.5427659574468083E-12</v>
      </c>
      <c r="J86" s="47">
        <f>'Intermediate calcs'!F17*VLOOKUP(IF(ISBLANK($A86),$B86,$A86),Radionuclide_specific,8,FALSE)*VLOOKUP($B$78,Other_regional_data,4,FALSE)*Other_F_local</f>
        <v>2.0784347826086956E-15</v>
      </c>
      <c r="K86" s="46">
        <f t="shared" si="66"/>
        <v>1.9980000000000002E-11</v>
      </c>
      <c r="L86" s="46">
        <f t="shared" si="66"/>
        <v>1.9980000000000004E-13</v>
      </c>
      <c r="M86" s="47">
        <f t="shared" si="66"/>
        <v>4.655340000000001E-9</v>
      </c>
      <c r="N86" s="47">
        <f t="shared" si="66"/>
        <v>3.8161800000000004E-12</v>
      </c>
      <c r="O86" s="46">
        <f t="shared" ref="O86" si="77">G86+I86+K86+M86</f>
        <v>4.6778627659574479E-9</v>
      </c>
      <c r="P86" s="46">
        <f t="shared" ref="P86" si="78">H86+J86+L86+N86</f>
        <v>4.0638862760582243E-12</v>
      </c>
    </row>
    <row r="87" spans="1:16">
      <c r="A87" s="4" t="s">
        <v>11</v>
      </c>
      <c r="B87" s="4"/>
      <c r="C87" s="46">
        <f>'Intermediate calcs'!G18*VLOOKUP($B$78,Other_regional_data,2,FALSE)*VLOOKUP(IF(ISBLANK($A87),$B87,$A87),Radionuclide_specific,8,FALSE)*VLOOKUP($B$78,Other_regional_data,8,FALSE)*Other_F_local</f>
        <v>0</v>
      </c>
      <c r="D87" s="46">
        <f>'Intermediate calcs'!H18*VLOOKUP($B$78,Other_regional_data,2,FALSE)*VLOOKUP(IF(ISBLANK($A87),$B87,$A87),Radionuclide_specific,8,FALSE)*VLOOKUP($B$78,Other_regional_data,9,FALSE)*Other_F_local</f>
        <v>7.7290801859870572E-14</v>
      </c>
      <c r="E87" s="47">
        <f>'Intermediate calcs'!I18*VLOOKUP($B$78,Other_regional_data,3,FALSE)*VLOOKUP(IF(ISBLANK($A87),$B87,$A87),Radionuclide_specific,8,FALSE)*VLOOKUP($B$78,Other_regional_data,8,FALSE)*Other_F_local</f>
        <v>0</v>
      </c>
      <c r="F87" s="47">
        <f>'Intermediate calcs'!J18*VLOOKUP($B$78,Other_regional_data,3,FALSE)*VLOOKUP(IF(ISBLANK($A87),$B87,$A87),Radionuclide_specific,8,FALSE)*VLOOKUP($B$78,Other_regional_data,9,FALSE)*Other_F_local</f>
        <v>2.7638875547649402E-13</v>
      </c>
      <c r="G87" s="46">
        <f t="shared" si="67"/>
        <v>0</v>
      </c>
      <c r="H87" s="46">
        <f t="shared" si="68"/>
        <v>3.5367955733636462E-13</v>
      </c>
      <c r="I87" s="47">
        <f>'Intermediate calcs'!E18*VLOOKUP(IF(ISBLANK($A87),$B87,$A87),Radionuclide_specific,8,FALSE)*VLOOKUP($B$78,Other_regional_data,4,FALSE)*Other_F_local</f>
        <v>1.1682978723404254E-11</v>
      </c>
      <c r="J87" s="47">
        <f>'Intermediate calcs'!F18*VLOOKUP(IF(ISBLANK($A87),$B87,$A87),Radionuclide_specific,8,FALSE)*VLOOKUP($B$78,Other_regional_data,4,FALSE)*Other_F_local</f>
        <v>9.5495652173913036E-15</v>
      </c>
      <c r="K87" s="46">
        <f t="shared" si="66"/>
        <v>9.1800000000000009E-11</v>
      </c>
      <c r="L87" s="46">
        <f t="shared" si="66"/>
        <v>9.1800000000000013E-13</v>
      </c>
      <c r="M87" s="47">
        <f t="shared" si="66"/>
        <v>1.162512E-8</v>
      </c>
      <c r="N87" s="47">
        <f t="shared" si="66"/>
        <v>9.4888800000000007E-12</v>
      </c>
      <c r="O87" s="46">
        <f t="shared" si="69"/>
        <v>1.1728602978723404E-8</v>
      </c>
      <c r="P87" s="46">
        <f t="shared" si="70"/>
        <v>1.0770109122553757E-11</v>
      </c>
    </row>
    <row r="88" spans="1:16">
      <c r="A88" s="4" t="s">
        <v>178</v>
      </c>
      <c r="B88" s="4"/>
      <c r="C88" s="46">
        <f>'Intermediate calcs'!G19*VLOOKUP($B$78,Other_regional_data,2,FALSE)*VLOOKUP(IF(ISBLANK($A88),$B88,$A88),Radionuclide_specific,8,FALSE)*VLOOKUP($B$78,Other_regional_data,8,FALSE)*Other_F_local</f>
        <v>0</v>
      </c>
      <c r="D88" s="46">
        <f>'Intermediate calcs'!H19*VLOOKUP($B$78,Other_regional_data,2,FALSE)*VLOOKUP(IF(ISBLANK($A88),$B88,$A88),Radionuclide_specific,8,FALSE)*VLOOKUP($B$78,Other_regional_data,9,FALSE)*Other_F_local</f>
        <v>1.5138617378713273E-13</v>
      </c>
      <c r="E88" s="47">
        <f>'Intermediate calcs'!I19*VLOOKUP($B$78,Other_regional_data,3,FALSE)*VLOOKUP(IF(ISBLANK($A88),$B88,$A88),Radionuclide_specific,8,FALSE)*VLOOKUP($B$78,Other_regional_data,8,FALSE)*Other_F_local</f>
        <v>0</v>
      </c>
      <c r="F88" s="47">
        <f>'Intermediate calcs'!J19*VLOOKUP($B$78,Other_regional_data,3,FALSE)*VLOOKUP(IF(ISBLANK($A88),$B88,$A88),Radionuclide_specific,8,FALSE)*VLOOKUP($B$78,Other_regional_data,9,FALSE)*Other_F_local</f>
        <v>4.7235962197305271E-13</v>
      </c>
      <c r="G88" s="46">
        <f t="shared" ref="G88" si="79">C88+E88</f>
        <v>0</v>
      </c>
      <c r="H88" s="46">
        <f t="shared" ref="H88" si="80">D88+F88</f>
        <v>6.2374579576018544E-13</v>
      </c>
      <c r="I88" s="47">
        <f>'Intermediate calcs'!E19*VLOOKUP(IF(ISBLANK($A88),$B88,$A88),Radionuclide_specific,8,FALSE)*VLOOKUP($B$78,Other_regional_data,4,FALSE)*Other_F_local</f>
        <v>1.1159405940594059E-9</v>
      </c>
      <c r="J88" s="47">
        <f>'Intermediate calcs'!F19*VLOOKUP(IF(ISBLANK($A88),$B88,$A88),Radionuclide_specific,8,FALSE)*VLOOKUP($B$78,Other_regional_data,4,FALSE)*Other_F_local</f>
        <v>9.0168000000000009E-12</v>
      </c>
      <c r="K88" s="46">
        <f t="shared" si="66"/>
        <v>1.0530000000000001E-10</v>
      </c>
      <c r="L88" s="46">
        <f t="shared" si="66"/>
        <v>1.0530000000000001E-12</v>
      </c>
      <c r="M88" s="47">
        <f t="shared" si="66"/>
        <v>5.7726864000000016E-11</v>
      </c>
      <c r="N88" s="47">
        <f t="shared" si="66"/>
        <v>4.6625544000000009E-13</v>
      </c>
      <c r="O88" s="46">
        <f t="shared" ref="O88" si="81">G88+I88+K88+M88</f>
        <v>1.278967458059406E-9</v>
      </c>
      <c r="P88" s="46">
        <f t="shared" ref="P88" si="82">H88+J88+L88+N88</f>
        <v>1.1159801235760186E-11</v>
      </c>
    </row>
    <row r="89" spans="1:16">
      <c r="A89" s="4" t="s">
        <v>17</v>
      </c>
      <c r="B89" s="4"/>
      <c r="C89" s="46">
        <f>'Intermediate calcs'!G20*VLOOKUP($B$78,Other_regional_data,2,FALSE)*VLOOKUP(IF(ISBLANK($A89),$B89,$A89),Radionuclide_specific,8,FALSE)*VLOOKUP($B$78,Other_regional_data,8,FALSE)*Other_F_local</f>
        <v>0</v>
      </c>
      <c r="D89" s="46">
        <f>'Intermediate calcs'!H20*VLOOKUP($B$78,Other_regional_data,2,FALSE)*VLOOKUP(IF(ISBLANK($A89),$B89,$A89),Radionuclide_specific,8,FALSE)*VLOOKUP($B$78,Other_regional_data,9,FALSE)*Other_F_local</f>
        <v>4.2574278538350459E-12</v>
      </c>
      <c r="E89" s="47">
        <f>'Intermediate calcs'!I20*VLOOKUP($B$78,Other_regional_data,3,FALSE)*VLOOKUP(IF(ISBLANK($A89),$B89,$A89),Radionuclide_specific,8,FALSE)*VLOOKUP($B$78,Other_regional_data,8,FALSE)*Other_F_local</f>
        <v>0</v>
      </c>
      <c r="F89" s="47">
        <f>'Intermediate calcs'!J20*VLOOKUP($B$78,Other_regional_data,3,FALSE)*VLOOKUP(IF(ISBLANK($A89),$B89,$A89),Radionuclide_specific,8,FALSE)*VLOOKUP($B$78,Other_regional_data,9,FALSE)*Other_F_local</f>
        <v>1.1075190951782135E-11</v>
      </c>
      <c r="G89" s="46">
        <f t="shared" si="67"/>
        <v>0</v>
      </c>
      <c r="H89" s="46">
        <f t="shared" si="68"/>
        <v>1.533261880561718E-11</v>
      </c>
      <c r="I89" s="47">
        <f>'Intermediate calcs'!E20*VLOOKUP(IF(ISBLANK($A89),$B89,$A89),Radionuclide_specific,8,FALSE)*VLOOKUP($B$78,Other_regional_data,4,FALSE)*Other_F_local</f>
        <v>6.7402343749999995E-12</v>
      </c>
      <c r="J89" s="47">
        <f>'Intermediate calcs'!F20*VLOOKUP(IF(ISBLANK($A89),$B89,$A89),Radionuclide_specific,8,FALSE)*VLOOKUP($B$78,Other_regional_data,4,FALSE)*Other_F_local</f>
        <v>4.3137499999999989E-14</v>
      </c>
      <c r="K89" s="46">
        <f t="shared" si="66"/>
        <v>1.1340000000000002E-9</v>
      </c>
      <c r="L89" s="46">
        <f t="shared" si="66"/>
        <v>1.1340000000000001E-11</v>
      </c>
      <c r="M89" s="47">
        <f t="shared" si="66"/>
        <v>4.1446080000000009E-13</v>
      </c>
      <c r="N89" s="47">
        <f t="shared" si="66"/>
        <v>2.6532576000000005E-15</v>
      </c>
      <c r="O89" s="46">
        <f t="shared" si="69"/>
        <v>1.1411546951750003E-9</v>
      </c>
      <c r="P89" s="46">
        <f t="shared" si="70"/>
        <v>2.671840956321718E-11</v>
      </c>
    </row>
    <row r="90" spans="1:16">
      <c r="A90" s="4"/>
      <c r="B90" s="4" t="s">
        <v>105</v>
      </c>
      <c r="C90" s="46">
        <f>'Intermediate calcs'!G21*VLOOKUP($B$78,Other_regional_data,2,FALSE)*VLOOKUP(IF(ISBLANK($A90),$B90,$A90),Radionuclide_specific,8,FALSE)*VLOOKUP($B$78,Other_regional_data,8,FALSE)*Other_F_local</f>
        <v>0</v>
      </c>
      <c r="D90" s="46">
        <f>'Intermediate calcs'!H21*VLOOKUP($B$78,Other_regional_data,2,FALSE)*VLOOKUP(IF(ISBLANK($A90),$B90,$A90),Radionuclide_specific,8,FALSE)*VLOOKUP($B$78,Other_regional_data,9,FALSE)*Other_F_local</f>
        <v>0</v>
      </c>
      <c r="E90" s="47">
        <f>'Intermediate calcs'!I21*VLOOKUP($B$78,Other_regional_data,3,FALSE)*VLOOKUP(IF(ISBLANK($A90),$B90,$A90),Radionuclide_specific,8,FALSE)*VLOOKUP($B$78,Other_regional_data,8,FALSE)*Other_F_local</f>
        <v>0</v>
      </c>
      <c r="F90" s="47">
        <f>'Intermediate calcs'!J21*VLOOKUP($B$78,Other_regional_data,3,FALSE)*VLOOKUP(IF(ISBLANK($A90),$B90,$A90),Radionuclide_specific,8,FALSE)*VLOOKUP($B$78,Other_regional_data,9,FALSE)*Other_F_local</f>
        <v>0</v>
      </c>
      <c r="G90" s="46">
        <f t="shared" si="67"/>
        <v>0</v>
      </c>
      <c r="H90" s="46">
        <f t="shared" si="68"/>
        <v>0</v>
      </c>
      <c r="I90" s="47">
        <f>'Intermediate calcs'!E21*VLOOKUP(IF(ISBLANK($A90),$B90,$A90),Radionuclide_specific,8,FALSE)*VLOOKUP($B$78,Other_regional_data,4,FALSE)*Other_F_local</f>
        <v>0</v>
      </c>
      <c r="J90" s="47">
        <f>'Intermediate calcs'!F21*VLOOKUP(IF(ISBLANK($A90),$B90,$A90),Radionuclide_specific,8,FALSE)*VLOOKUP($B$78,Other_regional_data,4,FALSE)*Other_F_local</f>
        <v>0</v>
      </c>
      <c r="K90" s="46">
        <f t="shared" si="66"/>
        <v>0</v>
      </c>
      <c r="L90" s="46">
        <f t="shared" si="66"/>
        <v>0</v>
      </c>
      <c r="M90" s="47">
        <f t="shared" si="66"/>
        <v>2.7799200000000001E-11</v>
      </c>
      <c r="N90" s="47">
        <f t="shared" si="66"/>
        <v>1.7796240000000005E-13</v>
      </c>
      <c r="O90" s="46">
        <f t="shared" si="69"/>
        <v>2.7799200000000001E-11</v>
      </c>
      <c r="P90" s="46">
        <f t="shared" si="70"/>
        <v>1.7796240000000005E-13</v>
      </c>
    </row>
    <row r="91" spans="1:16">
      <c r="A91" s="4" t="s">
        <v>66</v>
      </c>
      <c r="B91" s="4"/>
      <c r="C91" s="46">
        <f>'Intermediate calcs'!G22*VLOOKUP($B$78,Other_regional_data,2,FALSE)*VLOOKUP(IF(ISBLANK($A91),$B91,$A91),Radionuclide_specific,8,FALSE)*VLOOKUP($B$78,Other_regional_data,8,FALSE)*Other_F_local</f>
        <v>0</v>
      </c>
      <c r="D91" s="46">
        <f>'Intermediate calcs'!H22*VLOOKUP($B$78,Other_regional_data,2,FALSE)*VLOOKUP(IF(ISBLANK($A91),$B91,$A91),Radionuclide_specific,8,FALSE)*VLOOKUP($B$78,Other_regional_data,9,FALSE)*Other_F_local</f>
        <v>1.4681821019219587E-14</v>
      </c>
      <c r="E91" s="47">
        <f>'Intermediate calcs'!I22*VLOOKUP($B$78,Other_regional_data,3,FALSE)*VLOOKUP(IF(ISBLANK($A91),$B91,$A91),Radionuclide_specific,8,FALSE)*VLOOKUP($B$78,Other_regional_data,8,FALSE)*Other_F_local</f>
        <v>0</v>
      </c>
      <c r="F91" s="47">
        <f>'Intermediate calcs'!J22*VLOOKUP($B$78,Other_regional_data,3,FALSE)*VLOOKUP(IF(ISBLANK($A91),$B91,$A91),Radionuclide_specific,8,FALSE)*VLOOKUP($B$78,Other_regional_data,9,FALSE)*Other_F_local</f>
        <v>3.971792617190834E-13</v>
      </c>
      <c r="G91" s="46">
        <f t="shared" si="67"/>
        <v>0</v>
      </c>
      <c r="H91" s="46">
        <f t="shared" si="68"/>
        <v>4.1186108273830299E-13</v>
      </c>
      <c r="I91" s="47">
        <f>'Intermediate calcs'!E22*VLOOKUP(IF(ISBLANK($A91),$B91,$A91),Radionuclide_specific,8,FALSE)*VLOOKUP($B$78,Other_regional_data,4,FALSE)*Other_F_local</f>
        <v>1.9954268292682923E-11</v>
      </c>
      <c r="J91" s="47">
        <f>'Intermediate calcs'!F22*VLOOKUP(IF(ISBLANK($A91),$B91,$A91),Radionuclide_specific,8,FALSE)*VLOOKUP($B$78,Other_regional_data,4,FALSE)*Other_F_local</f>
        <v>1.925E-14</v>
      </c>
      <c r="K91" s="46">
        <f t="shared" si="66"/>
        <v>1.8900000000000002E-10</v>
      </c>
      <c r="L91" s="46">
        <f t="shared" si="66"/>
        <v>1.8900000000000002E-12</v>
      </c>
      <c r="M91" s="47">
        <f t="shared" si="66"/>
        <v>0</v>
      </c>
      <c r="N91" s="47">
        <f t="shared" si="66"/>
        <v>0</v>
      </c>
      <c r="O91" s="46">
        <f t="shared" si="69"/>
        <v>2.0895426829268294E-10</v>
      </c>
      <c r="P91" s="46">
        <f t="shared" si="70"/>
        <v>2.3211110827383031E-12</v>
      </c>
    </row>
    <row r="92" spans="1:16">
      <c r="A92" s="4"/>
      <c r="B92" s="4" t="s">
        <v>106</v>
      </c>
      <c r="C92" s="46">
        <f>'Intermediate calcs'!G23*VLOOKUP($B$78,Other_regional_data,2,FALSE)*VLOOKUP(IF(ISBLANK($A92),$B92,$A92),Radionuclide_specific,8,FALSE)*VLOOKUP($B$78,Other_regional_data,8,FALSE)*Other_F_local</f>
        <v>0</v>
      </c>
      <c r="D92" s="46">
        <f>'Intermediate calcs'!H23*VLOOKUP($B$78,Other_regional_data,2,FALSE)*VLOOKUP(IF(ISBLANK($A92),$B92,$A92),Radionuclide_specific,8,FALSE)*VLOOKUP($B$78,Other_regional_data,9,FALSE)*Other_F_local</f>
        <v>0</v>
      </c>
      <c r="E92" s="47">
        <f>'Intermediate calcs'!I23*VLOOKUP($B$78,Other_regional_data,3,FALSE)*VLOOKUP(IF(ISBLANK($A92),$B92,$A92),Radionuclide_specific,8,FALSE)*VLOOKUP($B$78,Other_regional_data,8,FALSE)*Other_F_local</f>
        <v>0</v>
      </c>
      <c r="F92" s="47">
        <f>'Intermediate calcs'!J23*VLOOKUP($B$78,Other_regional_data,3,FALSE)*VLOOKUP(IF(ISBLANK($A92),$B92,$A92),Radionuclide_specific,8,FALSE)*VLOOKUP($B$78,Other_regional_data,9,FALSE)*Other_F_local</f>
        <v>0</v>
      </c>
      <c r="G92" s="46">
        <f t="shared" si="67"/>
        <v>0</v>
      </c>
      <c r="H92" s="46">
        <f t="shared" si="68"/>
        <v>0</v>
      </c>
      <c r="I92" s="47">
        <f>'Intermediate calcs'!E23*VLOOKUP(IF(ISBLANK($A92),$B92,$A92),Radionuclide_specific,8,FALSE)*VLOOKUP($B$78,Other_regional_data,4,FALSE)*Other_F_local</f>
        <v>0</v>
      </c>
      <c r="J92" s="47">
        <f>'Intermediate calcs'!F23*VLOOKUP(IF(ISBLANK($A92),$B92,$A92),Radionuclide_specific,8,FALSE)*VLOOKUP($B$78,Other_regional_data,4,FALSE)*Other_F_local</f>
        <v>0</v>
      </c>
      <c r="K92" s="46">
        <f t="shared" si="66"/>
        <v>0</v>
      </c>
      <c r="L92" s="46">
        <f t="shared" si="66"/>
        <v>0</v>
      </c>
      <c r="M92" s="47">
        <f t="shared" si="66"/>
        <v>1.45314E-9</v>
      </c>
      <c r="N92" s="47">
        <f t="shared" si="66"/>
        <v>1.4009760000000001E-12</v>
      </c>
      <c r="O92" s="46">
        <f t="shared" si="69"/>
        <v>1.45314E-9</v>
      </c>
      <c r="P92" s="46">
        <f t="shared" si="70"/>
        <v>1.4009760000000001E-12</v>
      </c>
    </row>
    <row r="93" spans="1:16">
      <c r="A93" s="4" t="s">
        <v>67</v>
      </c>
      <c r="B93" s="4"/>
      <c r="C93" s="46">
        <f>'Intermediate calcs'!G24*VLOOKUP($B$78,Other_regional_data,2,FALSE)*VLOOKUP(IF(ISBLANK($A93),$B93,$A93),Radionuclide_specific,8,FALSE)*VLOOKUP($B$78,Other_regional_data,8,FALSE)*Other_F_local</f>
        <v>0</v>
      </c>
      <c r="D93" s="46">
        <f>'Intermediate calcs'!H24*VLOOKUP($B$78,Other_regional_data,2,FALSE)*VLOOKUP(IF(ISBLANK($A93),$B93,$A93),Radionuclide_specific,8,FALSE)*VLOOKUP($B$78,Other_regional_data,9,FALSE)*Other_F_local</f>
        <v>1.4225024659725902E-11</v>
      </c>
      <c r="E93" s="47">
        <f>'Intermediate calcs'!I24*VLOOKUP($B$78,Other_regional_data,3,FALSE)*VLOOKUP(IF(ISBLANK($A93),$B93,$A93),Radionuclide_specific,8,FALSE)*VLOOKUP($B$78,Other_regional_data,8,FALSE)*Other_F_local</f>
        <v>0</v>
      </c>
      <c r="F93" s="47">
        <f>'Intermediate calcs'!J24*VLOOKUP($B$78,Other_regional_data,3,FALSE)*VLOOKUP(IF(ISBLANK($A93),$B93,$A93),Radionuclide_specific,8,FALSE)*VLOOKUP($B$78,Other_regional_data,9,FALSE)*Other_F_local</f>
        <v>1.3863083846541082E-11</v>
      </c>
      <c r="G93" s="46">
        <f t="shared" si="67"/>
        <v>0</v>
      </c>
      <c r="H93" s="46">
        <f t="shared" si="68"/>
        <v>2.8088108506266986E-11</v>
      </c>
      <c r="I93" s="47">
        <f>'Intermediate calcs'!E24*VLOOKUP(IF(ISBLANK($A93),$B93,$A93),Radionuclide_specific,8,FALSE)*VLOOKUP($B$78,Other_regional_data,4,FALSE)*Other_F_local</f>
        <v>2.5781250000000003E-10</v>
      </c>
      <c r="J93" s="47">
        <f>'Intermediate calcs'!F24*VLOOKUP(IF(ISBLANK($A93),$B93,$A93),Radionuclide_specific,8,FALSE)*VLOOKUP($B$78,Other_regional_data,4,FALSE)*Other_F_local</f>
        <v>8.7656249999999988E-13</v>
      </c>
      <c r="K93" s="46">
        <f t="shared" si="66"/>
        <v>4.4550000000000008E-9</v>
      </c>
      <c r="L93" s="46">
        <f t="shared" si="66"/>
        <v>4.4550000000000004E-11</v>
      </c>
      <c r="M93" s="47">
        <f t="shared" si="66"/>
        <v>1.7016480000000003E-11</v>
      </c>
      <c r="N93" s="47">
        <f t="shared" si="66"/>
        <v>5.7704399999999999E-14</v>
      </c>
      <c r="O93" s="46">
        <f t="shared" si="69"/>
        <v>4.7298289800000012E-9</v>
      </c>
      <c r="P93" s="46">
        <f t="shared" si="70"/>
        <v>7.3572375406266997E-11</v>
      </c>
    </row>
    <row r="94" spans="1:16">
      <c r="A94" s="4" t="s">
        <v>239</v>
      </c>
      <c r="B94" s="4"/>
      <c r="C94" s="46">
        <f>'Intermediate calcs'!G25*VLOOKUP($B$78,Other_regional_data,2,FALSE)*VLOOKUP(IF(ISBLANK($A94),$B94,$A94),Radionuclide_specific,8,FALSE)*VLOOKUP($B$78,Other_regional_data,8,FALSE)*Other_F_local</f>
        <v>0</v>
      </c>
      <c r="D94" s="46">
        <f>'Intermediate calcs'!H25*VLOOKUP($B$78,Other_regional_data,2,FALSE)*VLOOKUP(IF(ISBLANK($A94),$B94,$A94),Radionuclide_specific,8,FALSE)*VLOOKUP($B$78,Other_regional_data,9,FALSE)*Other_F_local</f>
        <v>1.8100287671956369E-14</v>
      </c>
      <c r="E94" s="47">
        <f>'Intermediate calcs'!I25*VLOOKUP($B$78,Other_regional_data,3,FALSE)*VLOOKUP(IF(ISBLANK($A94),$B94,$A94),Radionuclide_specific,8,FALSE)*VLOOKUP($B$78,Other_regional_data,8,FALSE)*Other_F_local</f>
        <v>0</v>
      </c>
      <c r="F94" s="47">
        <f>'Intermediate calcs'!J25*VLOOKUP($B$78,Other_regional_data,3,FALSE)*VLOOKUP(IF(ISBLANK($A94),$B94,$A94),Radionuclide_specific,8,FALSE)*VLOOKUP($B$78,Other_regional_data,9,FALSE)*Other_F_local</f>
        <v>4.4955454897874278E-14</v>
      </c>
      <c r="G94" s="46">
        <f t="shared" ref="G94" si="83">C94+E94</f>
        <v>0</v>
      </c>
      <c r="H94" s="46">
        <f t="shared" ref="H94" si="84">D94+F94</f>
        <v>6.3055742569830641E-14</v>
      </c>
      <c r="I94" s="47">
        <f>'Intermediate calcs'!E25*VLOOKUP(IF(ISBLANK($A94),$B94,$A94),Radionuclide_specific,8,FALSE)*VLOOKUP($B$78,Other_regional_data,4,FALSE)*Other_F_local</f>
        <v>4.6875000000000008E-12</v>
      </c>
      <c r="J94" s="47">
        <f>'Intermediate calcs'!F25*VLOOKUP(IF(ISBLANK($A94),$B94,$A94),Radionuclide_specific,8,FALSE)*VLOOKUP($B$78,Other_regional_data,4,FALSE)*Other_F_local</f>
        <v>1.5937499999999998E-14</v>
      </c>
      <c r="K94" s="46">
        <f t="shared" si="66"/>
        <v>8.1000000000000018E-11</v>
      </c>
      <c r="L94" s="46">
        <f t="shared" si="66"/>
        <v>8.1000000000000018E-13</v>
      </c>
      <c r="M94" s="47">
        <f t="shared" si="66"/>
        <v>3.1292352000000006E-10</v>
      </c>
      <c r="N94" s="47">
        <f t="shared" si="66"/>
        <v>1.0771488E-12</v>
      </c>
      <c r="O94" s="46">
        <f t="shared" ref="O94" si="85">G94+I94+K94+M94</f>
        <v>3.9861102000000008E-10</v>
      </c>
      <c r="P94" s="46">
        <f t="shared" ref="P94" si="86">H94+J94+L94+N94</f>
        <v>1.9661420425698307E-12</v>
      </c>
    </row>
    <row r="95" spans="1:16">
      <c r="A95" s="4" t="s">
        <v>177</v>
      </c>
      <c r="B95" s="4"/>
      <c r="C95" s="46">
        <f>'Intermediate calcs'!G26*VLOOKUP($B$78,Other_regional_data,2,FALSE)*VLOOKUP(IF(ISBLANK($A95),$B95,$A95),Radionuclide_specific,8,FALSE)*VLOOKUP($B$78,Other_regional_data,8,FALSE)*Other_F_local</f>
        <v>0</v>
      </c>
      <c r="D95" s="46">
        <f>'Intermediate calcs'!H26*VLOOKUP($B$78,Other_regional_data,2,FALSE)*VLOOKUP(IF(ISBLANK($A95),$B95,$A95),Radionuclide_specific,8,FALSE)*VLOOKUP($B$78,Other_regional_data,9,FALSE)*Other_F_local</f>
        <v>2.0006822712284474E-12</v>
      </c>
      <c r="E95" s="47">
        <f>'Intermediate calcs'!I26*VLOOKUP($B$78,Other_regional_data,3,FALSE)*VLOOKUP(IF(ISBLANK($A95),$B95,$A95),Radionuclide_specific,8,FALSE)*VLOOKUP($B$78,Other_regional_data,8,FALSE)*Other_F_local</f>
        <v>0</v>
      </c>
      <c r="F95" s="47">
        <f>'Intermediate calcs'!J26*VLOOKUP($B$78,Other_regional_data,3,FALSE)*VLOOKUP(IF(ISBLANK($A95),$B95,$A95),Radionuclide_specific,8,FALSE)*VLOOKUP($B$78,Other_regional_data,9,FALSE)*Other_F_local</f>
        <v>1.4201340910093053E-12</v>
      </c>
      <c r="G95" s="46">
        <f t="shared" ref="G95" si="87">C95+E95</f>
        <v>0</v>
      </c>
      <c r="H95" s="46">
        <f t="shared" ref="H95" si="88">D95+F95</f>
        <v>3.4208163622377525E-12</v>
      </c>
      <c r="I95" s="47">
        <f>'Intermediate calcs'!E26*VLOOKUP(IF(ISBLANK($A95),$B95,$A95),Radionuclide_specific,8,FALSE)*VLOOKUP($B$78,Other_regional_data,4,FALSE)*Other_F_local</f>
        <v>2.5553797468354434E-9</v>
      </c>
      <c r="J95" s="47">
        <f>'Intermediate calcs'!F26*VLOOKUP(IF(ISBLANK($A95),$B95,$A95),Radionuclide_specific,8,FALSE)*VLOOKUP($B$78,Other_regional_data,4,FALSE)*Other_F_local</f>
        <v>2.6048387096774195E-12</v>
      </c>
      <c r="K95" s="46">
        <f t="shared" si="66"/>
        <v>7.6950000000000008E-10</v>
      </c>
      <c r="L95" s="46">
        <f t="shared" si="66"/>
        <v>7.6950000000000006E-12</v>
      </c>
      <c r="M95" s="47">
        <f t="shared" si="66"/>
        <v>5.8501440000000015E-9</v>
      </c>
      <c r="N95" s="47">
        <f t="shared" si="66"/>
        <v>5.9780160000000001E-12</v>
      </c>
      <c r="O95" s="46">
        <f t="shared" ref="O95" si="89">G95+I95+K95+M95</f>
        <v>9.1750237468354448E-9</v>
      </c>
      <c r="P95" s="46">
        <f t="shared" ref="P95" si="90">H95+J95+L95+N95</f>
        <v>1.9698671071915172E-11</v>
      </c>
    </row>
    <row r="96" spans="1:16">
      <c r="A96" s="4" t="s">
        <v>12</v>
      </c>
      <c r="B96" s="4"/>
      <c r="C96" s="46">
        <f>'Intermediate calcs'!G27*VLOOKUP($B$78,Other_regional_data,2,FALSE)*VLOOKUP(IF(ISBLANK($A96),$B96,$A96),Radionuclide_specific,8,FALSE)*VLOOKUP($B$78,Other_regional_data,8,FALSE)*Other_F_local</f>
        <v>0</v>
      </c>
      <c r="D96" s="46">
        <f>'Intermediate calcs'!H27*VLOOKUP($B$78,Other_regional_data,2,FALSE)*VLOOKUP(IF(ISBLANK($A96),$B96,$A96),Radionuclide_specific,8,FALSE)*VLOOKUP($B$78,Other_regional_data,9,FALSE)*Other_F_local</f>
        <v>1.6421078519451412E-12</v>
      </c>
      <c r="E96" s="47">
        <f>'Intermediate calcs'!I27*VLOOKUP($B$78,Other_regional_data,3,FALSE)*VLOOKUP(IF(ISBLANK($A96),$B96,$A96),Radionuclide_specific,8,FALSE)*VLOOKUP($B$78,Other_regional_data,8,FALSE)*Other_F_local</f>
        <v>0</v>
      </c>
      <c r="F96" s="47">
        <f>'Intermediate calcs'!J27*VLOOKUP($B$78,Other_regional_data,3,FALSE)*VLOOKUP(IF(ISBLANK($A96),$B96,$A96),Radionuclide_specific,8,FALSE)*VLOOKUP($B$78,Other_regional_data,9,FALSE)*Other_F_local</f>
        <v>1.5532546127942726E-12</v>
      </c>
      <c r="G96" s="46">
        <f t="shared" si="67"/>
        <v>0</v>
      </c>
      <c r="H96" s="46">
        <f t="shared" si="68"/>
        <v>3.1953624647394138E-12</v>
      </c>
      <c r="I96" s="47">
        <f>'Intermediate calcs'!E27*VLOOKUP(IF(ISBLANK($A96),$B96,$A96),Radionuclide_specific,8,FALSE)*VLOOKUP($B$78,Other_regional_data,4,FALSE)*Other_F_local</f>
        <v>1.7484177215189874E-9</v>
      </c>
      <c r="J96" s="47">
        <f>'Intermediate calcs'!F27*VLOOKUP(IF(ISBLANK($A96),$B96,$A96),Radionuclide_specific,8,FALSE)*VLOOKUP($B$78,Other_regional_data,4,FALSE)*Other_F_local</f>
        <v>1.7822580645161292E-12</v>
      </c>
      <c r="K96" s="46">
        <f t="shared" si="66"/>
        <v>5.2650000000000009E-10</v>
      </c>
      <c r="L96" s="46">
        <f t="shared" si="66"/>
        <v>5.2650000000000007E-12</v>
      </c>
      <c r="M96" s="47">
        <f t="shared" si="66"/>
        <v>1.1818871999999999E-11</v>
      </c>
      <c r="N96" s="47">
        <f t="shared" si="66"/>
        <v>1.2077207999999998E-14</v>
      </c>
      <c r="O96" s="46">
        <f t="shared" si="69"/>
        <v>2.2867365935189874E-9</v>
      </c>
      <c r="P96" s="46">
        <f t="shared" si="70"/>
        <v>1.0254697737255544E-11</v>
      </c>
    </row>
    <row r="97" spans="1:16">
      <c r="A97" s="4"/>
      <c r="B97" s="4" t="s">
        <v>107</v>
      </c>
      <c r="C97" s="46">
        <f>'Intermediate calcs'!G28*VLOOKUP($B$78,Other_regional_data,2,FALSE)*VLOOKUP(IF(ISBLANK($A97),$B97,$A97),Radionuclide_specific,8,FALSE)*VLOOKUP($B$78,Other_regional_data,8,FALSE)*Other_F_local</f>
        <v>0</v>
      </c>
      <c r="D97" s="46">
        <f>'Intermediate calcs'!H28*VLOOKUP($B$78,Other_regional_data,2,FALSE)*VLOOKUP(IF(ISBLANK($A97),$B97,$A97),Radionuclide_specific,8,FALSE)*VLOOKUP($B$78,Other_regional_data,9,FALSE)*Other_F_local</f>
        <v>0</v>
      </c>
      <c r="E97" s="47">
        <f>'Intermediate calcs'!I28*VLOOKUP($B$78,Other_regional_data,3,FALSE)*VLOOKUP(IF(ISBLANK($A97),$B97,$A97),Radionuclide_specific,8,FALSE)*VLOOKUP($B$78,Other_regional_data,8,FALSE)*Other_F_local</f>
        <v>0</v>
      </c>
      <c r="F97" s="47">
        <f>'Intermediate calcs'!J28*VLOOKUP($B$78,Other_regional_data,3,FALSE)*VLOOKUP(IF(ISBLANK($A97),$B97,$A97),Radionuclide_specific,8,FALSE)*VLOOKUP($B$78,Other_regional_data,9,FALSE)*Other_F_local</f>
        <v>0</v>
      </c>
      <c r="G97" s="46">
        <f t="shared" si="67"/>
        <v>0</v>
      </c>
      <c r="H97" s="46">
        <f t="shared" si="68"/>
        <v>0</v>
      </c>
      <c r="I97" s="47">
        <f>'Intermediate calcs'!E28*VLOOKUP(IF(ISBLANK($A97),$B97,$A97),Radionuclide_specific,8,FALSE)*VLOOKUP($B$78,Other_regional_data,4,FALSE)*Other_F_local</f>
        <v>0</v>
      </c>
      <c r="J97" s="47">
        <f>'Intermediate calcs'!F28*VLOOKUP(IF(ISBLANK($A97),$B97,$A97),Radionuclide_specific,8,FALSE)*VLOOKUP($B$78,Other_regional_data,4,FALSE)*Other_F_local</f>
        <v>0</v>
      </c>
      <c r="K97" s="46">
        <f t="shared" si="66"/>
        <v>0</v>
      </c>
      <c r="L97" s="46">
        <f t="shared" si="66"/>
        <v>0</v>
      </c>
      <c r="M97" s="47">
        <f t="shared" si="66"/>
        <v>2.1650829552E-9</v>
      </c>
      <c r="N97" s="47">
        <f t="shared" si="66"/>
        <v>2.2124071728000003E-12</v>
      </c>
      <c r="O97" s="46">
        <f t="shared" si="69"/>
        <v>2.1650829552E-9</v>
      </c>
      <c r="P97" s="46">
        <f t="shared" si="70"/>
        <v>2.2124071728000003E-12</v>
      </c>
    </row>
    <row r="98" spans="1:16">
      <c r="A98" s="4" t="s">
        <v>22</v>
      </c>
      <c r="B98" s="4"/>
      <c r="C98" s="46">
        <f>'Intermediate calcs'!G29*VLOOKUP($B$78,Other_regional_data,2,FALSE)*VLOOKUP(IF(ISBLANK($A98),$B98,$A98),Radionuclide_specific,8,FALSE)*VLOOKUP($B$78,Other_regional_data,8,FALSE)*Other_F_local</f>
        <v>0</v>
      </c>
      <c r="D98" s="46">
        <f>'Intermediate calcs'!H29*VLOOKUP($B$78,Other_regional_data,2,FALSE)*VLOOKUP(IF(ISBLANK($A98),$B98,$A98),Radionuclide_specific,8,FALSE)*VLOOKUP($B$78,Other_regional_data,9,FALSE)*Other_F_local</f>
        <v>6.081825332808183E-12</v>
      </c>
      <c r="E98" s="47">
        <f>'Intermediate calcs'!I29*VLOOKUP($B$78,Other_regional_data,3,FALSE)*VLOOKUP(IF(ISBLANK($A98),$B98,$A98),Radionuclide_specific,8,FALSE)*VLOOKUP($B$78,Other_regional_data,8,FALSE)*Other_F_local</f>
        <v>0</v>
      </c>
      <c r="F98" s="47">
        <f>'Intermediate calcs'!J29*VLOOKUP($B$78,Other_regional_data,3,FALSE)*VLOOKUP(IF(ISBLANK($A98),$B98,$A98),Radionuclide_specific,8,FALSE)*VLOOKUP($B$78,Other_regional_data,9,FALSE)*Other_F_local</f>
        <v>5.2702632805032222E-11</v>
      </c>
      <c r="G98" s="46">
        <f t="shared" si="67"/>
        <v>0</v>
      </c>
      <c r="H98" s="46">
        <f t="shared" si="68"/>
        <v>5.8784458137840399E-11</v>
      </c>
      <c r="I98" s="47">
        <f>'Intermediate calcs'!E29*VLOOKUP(IF(ISBLANK($A98),$B98,$A98),Radionuclide_specific,8,FALSE)*VLOOKUP($B$78,Other_regional_data,4,FALSE)*Other_F_local</f>
        <v>1.2218749999999998E-9</v>
      </c>
      <c r="J98" s="47">
        <f>'Intermediate calcs'!F29*VLOOKUP(IF(ISBLANK($A98),$B98,$A98),Radionuclide_specific,8,FALSE)*VLOOKUP($B$78,Other_regional_data,4,FALSE)*Other_F_local</f>
        <v>2.4437499999999996E-12</v>
      </c>
      <c r="K98" s="46">
        <f t="shared" si="66"/>
        <v>1.8629999999999999E-8</v>
      </c>
      <c r="L98" s="46">
        <f t="shared" si="66"/>
        <v>1.8630000000000002E-10</v>
      </c>
      <c r="M98" s="47">
        <f t="shared" si="66"/>
        <v>3.8278655999999994E-12</v>
      </c>
      <c r="N98" s="47">
        <f t="shared" si="66"/>
        <v>7.6373279999999994E-15</v>
      </c>
      <c r="O98" s="46">
        <f t="shared" si="69"/>
        <v>1.9855702865599999E-8</v>
      </c>
      <c r="P98" s="46">
        <f t="shared" si="70"/>
        <v>2.4753584546584041E-10</v>
      </c>
    </row>
    <row r="99" spans="1:16">
      <c r="A99" s="4" t="s">
        <v>19</v>
      </c>
      <c r="B99" s="4"/>
      <c r="C99" s="46">
        <f>'Intermediate calcs'!G30*VLOOKUP($B$78,Other_regional_data,2,FALSE)*VLOOKUP(IF(ISBLANK($A99),$B99,$A99),Radionuclide_specific,8,FALSE)*VLOOKUP($B$78,Other_regional_data,8,FALSE)*Other_F_local</f>
        <v>0</v>
      </c>
      <c r="D99" s="46">
        <f>'Intermediate calcs'!H30*VLOOKUP($B$78,Other_regional_data,2,FALSE)*VLOOKUP(IF(ISBLANK($A99),$B99,$A99),Radionuclide_specific,8,FALSE)*VLOOKUP($B$78,Other_regional_data,9,FALSE)*Other_F_local</f>
        <v>1.2713093047317221E-12</v>
      </c>
      <c r="E99" s="47">
        <f>'Intermediate calcs'!I30*VLOOKUP($B$78,Other_regional_data,3,FALSE)*VLOOKUP(IF(ISBLANK($A99),$B99,$A99),Radionuclide_specific,8,FALSE)*VLOOKUP($B$78,Other_regional_data,8,FALSE)*Other_F_local</f>
        <v>0</v>
      </c>
      <c r="F99" s="47">
        <f>'Intermediate calcs'!J30*VLOOKUP($B$78,Other_regional_data,3,FALSE)*VLOOKUP(IF(ISBLANK($A99),$B99,$A99),Radionuclide_specific,8,FALSE)*VLOOKUP($B$78,Other_regional_data,9,FALSE)*Other_F_local</f>
        <v>6.2261122729920033E-11</v>
      </c>
      <c r="G99" s="46">
        <f t="shared" si="67"/>
        <v>0</v>
      </c>
      <c r="H99" s="46">
        <f t="shared" si="68"/>
        <v>6.3532432034651754E-11</v>
      </c>
      <c r="I99" s="47">
        <f>'Intermediate calcs'!E30*VLOOKUP(IF(ISBLANK($A99),$B99,$A99),Radionuclide_specific,8,FALSE)*VLOOKUP($B$78,Other_regional_data,4,FALSE)*Other_F_local</f>
        <v>2.04E-9</v>
      </c>
      <c r="J99" s="47">
        <f>'Intermediate calcs'!F30*VLOOKUP(IF(ISBLANK($A99),$B99,$A99),Radionuclide_specific,8,FALSE)*VLOOKUP($B$78,Other_regional_data,4,FALSE)*Other_F_local</f>
        <v>1.7485714285714285E-12</v>
      </c>
      <c r="K99" s="46">
        <f t="shared" si="66"/>
        <v>3.2399999999999999E-8</v>
      </c>
      <c r="L99" s="46">
        <f t="shared" si="66"/>
        <v>3.2400000000000002E-10</v>
      </c>
      <c r="M99" s="47">
        <f t="shared" si="66"/>
        <v>3.8793168000000015E-14</v>
      </c>
      <c r="N99" s="47">
        <f t="shared" si="66"/>
        <v>3.3201359999999998E-17</v>
      </c>
      <c r="O99" s="46">
        <f t="shared" si="69"/>
        <v>3.4440038793167993E-8</v>
      </c>
      <c r="P99" s="46">
        <f t="shared" si="70"/>
        <v>3.892810366645832E-10</v>
      </c>
    </row>
    <row r="100" spans="1:16">
      <c r="A100" s="4" t="s">
        <v>14</v>
      </c>
      <c r="B100" s="4"/>
      <c r="C100" s="46">
        <f>'Intermediate calcs'!G31*VLOOKUP($B$78,Other_regional_data,2,FALSE)*VLOOKUP(IF(ISBLANK($A100),$B100,$A100),Radionuclide_specific,8,FALSE)*VLOOKUP($B$78,Other_regional_data,8,FALSE)*Other_F_local</f>
        <v>0</v>
      </c>
      <c r="D100" s="46">
        <f>'Intermediate calcs'!H31*VLOOKUP($B$78,Other_regional_data,2,FALSE)*VLOOKUP(IF(ISBLANK($A100),$B100,$A100),Radionuclide_specific,8,FALSE)*VLOOKUP($B$78,Other_regional_data,9,FALSE)*Other_F_local</f>
        <v>1.5792715452166674E-11</v>
      </c>
      <c r="E100" s="47">
        <f>'Intermediate calcs'!I31*VLOOKUP($B$78,Other_regional_data,3,FALSE)*VLOOKUP(IF(ISBLANK($A100),$B100,$A100),Radionuclide_specific,8,FALSE)*VLOOKUP($B$78,Other_regional_data,8,FALSE)*Other_F_local</f>
        <v>0</v>
      </c>
      <c r="F100" s="47">
        <f>'Intermediate calcs'!J31*VLOOKUP($B$78,Other_regional_data,3,FALSE)*VLOOKUP(IF(ISBLANK($A100),$B100,$A100),Radionuclide_specific,8,FALSE)*VLOOKUP($B$78,Other_regional_data,9,FALSE)*Other_F_local</f>
        <v>4.6439421370231287E-11</v>
      </c>
      <c r="G100" s="46">
        <f t="shared" si="67"/>
        <v>0</v>
      </c>
      <c r="H100" s="46">
        <f t="shared" si="68"/>
        <v>6.2232136822397964E-11</v>
      </c>
      <c r="I100" s="47">
        <f>'Intermediate calcs'!E31*VLOOKUP(IF(ISBLANK($A100),$B100,$A100),Radionuclide_specific,8,FALSE)*VLOOKUP($B$78,Other_regional_data,4,FALSE)*Other_F_local</f>
        <v>8.2926829268292674E-11</v>
      </c>
      <c r="J100" s="47">
        <f>'Intermediate calcs'!F31*VLOOKUP(IF(ISBLANK($A100),$B100,$A100),Radionuclide_specific,8,FALSE)*VLOOKUP($B$78,Other_regional_data,4,FALSE)*Other_F_local</f>
        <v>2.0255319148936171E-13</v>
      </c>
      <c r="K100" s="46">
        <f t="shared" si="66"/>
        <v>7.5600000000000012E-9</v>
      </c>
      <c r="L100" s="46">
        <f t="shared" si="66"/>
        <v>7.5600000000000016E-11</v>
      </c>
      <c r="M100" s="47">
        <f t="shared" si="66"/>
        <v>8.4992544000000023E-12</v>
      </c>
      <c r="N100" s="47">
        <f t="shared" si="66"/>
        <v>2.0720232000000001E-14</v>
      </c>
      <c r="O100" s="46">
        <f t="shared" si="69"/>
        <v>7.6514260836682952E-9</v>
      </c>
      <c r="P100" s="46">
        <f t="shared" si="70"/>
        <v>1.3805541024588733E-10</v>
      </c>
    </row>
    <row r="101" spans="1:16">
      <c r="A101" s="4" t="s">
        <v>156</v>
      </c>
      <c r="B101" s="4"/>
      <c r="C101" s="46">
        <f>'Intermediate calcs'!G32*VLOOKUP($B$78,Other_regional_data,2,FALSE)*VLOOKUP(IF(ISBLANK($A101),$B101,$A101),Radionuclide_specific,8,FALSE)*VLOOKUP($B$78,Other_regional_data,8,FALSE)*Other_F_local</f>
        <v>0</v>
      </c>
      <c r="D101" s="46">
        <f>'Intermediate calcs'!H32*VLOOKUP($B$78,Other_regional_data,2,FALSE)*VLOOKUP(IF(ISBLANK($A101),$B101,$A101),Radionuclide_specific,8,FALSE)*VLOOKUP($B$78,Other_regional_data,9,FALSE)*Other_F_local</f>
        <v>3.5713754810555615E-13</v>
      </c>
      <c r="E101" s="47">
        <f>'Intermediate calcs'!I32*VLOOKUP($B$78,Other_regional_data,3,FALSE)*VLOOKUP(IF(ISBLANK($A101),$B101,$A101),Radionuclide_specific,8,FALSE)*VLOOKUP($B$78,Other_regional_data,8,FALSE)*Other_F_local</f>
        <v>0</v>
      </c>
      <c r="F101" s="47">
        <f>'Intermediate calcs'!J32*VLOOKUP($B$78,Other_regional_data,3,FALSE)*VLOOKUP(IF(ISBLANK($A101),$B101,$A101),Radionuclide_specific,8,FALSE)*VLOOKUP($B$78,Other_regional_data,9,FALSE)*Other_F_local</f>
        <v>1.2259090674214018E-11</v>
      </c>
      <c r="G101" s="46">
        <f t="shared" ref="G101" si="91">C101+E101</f>
        <v>0</v>
      </c>
      <c r="H101" s="46">
        <f t="shared" ref="H101" si="92">D101+F101</f>
        <v>1.2616228222319573E-11</v>
      </c>
      <c r="I101" s="47">
        <f>'Intermediate calcs'!E32*VLOOKUP(IF(ISBLANK($A101),$B101,$A101),Radionuclide_specific,8,FALSE)*VLOOKUP($B$78,Other_regional_data,4,FALSE)*Other_F_local</f>
        <v>2.23125E-11</v>
      </c>
      <c r="J101" s="47">
        <f>'Intermediate calcs'!F32*VLOOKUP(IF(ISBLANK($A101),$B101,$A101),Radionuclide_specific,8,FALSE)*VLOOKUP($B$78,Other_regional_data,4,FALSE)*Other_F_local</f>
        <v>1.115625E-14</v>
      </c>
      <c r="K101" s="46">
        <f t="shared" ref="K101:N113" si="93">K64</f>
        <v>3.1500000000000005E-9</v>
      </c>
      <c r="L101" s="46">
        <f t="shared" si="93"/>
        <v>3.1500000000000001E-11</v>
      </c>
      <c r="M101" s="47">
        <f t="shared" si="93"/>
        <v>5.4348840000000003E-12</v>
      </c>
      <c r="N101" s="47">
        <f t="shared" si="93"/>
        <v>2.7243215999999998E-15</v>
      </c>
      <c r="O101" s="46">
        <f t="shared" ref="O101" si="94">G101+I101+K101+M101</f>
        <v>3.1777473840000006E-9</v>
      </c>
      <c r="P101" s="46">
        <f t="shared" ref="P101" si="95">H101+J101+L101+N101</f>
        <v>4.4130108793919575E-11</v>
      </c>
    </row>
    <row r="102" spans="1:16">
      <c r="A102" s="4" t="s">
        <v>20</v>
      </c>
      <c r="B102" s="4"/>
      <c r="C102" s="46">
        <f>'Intermediate calcs'!G33*VLOOKUP($B$78,Other_regional_data,2,FALSE)*VLOOKUP(IF(ISBLANK($A102),$B102,$A102),Radionuclide_specific,8,FALSE)*VLOOKUP($B$78,Other_regional_data,8,FALSE)*Other_F_local</f>
        <v>0</v>
      </c>
      <c r="D102" s="46">
        <f>'Intermediate calcs'!H33*VLOOKUP($B$78,Other_regional_data,2,FALSE)*VLOOKUP(IF(ISBLANK($A102),$B102,$A102),Radionuclide_specific,8,FALSE)*VLOOKUP($B$78,Other_regional_data,9,FALSE)*Other_F_local</f>
        <v>3.9115064792513287E-13</v>
      </c>
      <c r="E102" s="47">
        <f>'Intermediate calcs'!I33*VLOOKUP($B$78,Other_regional_data,3,FALSE)*VLOOKUP(IF(ISBLANK($A102),$B102,$A102),Radionuclide_specific,8,FALSE)*VLOOKUP($B$78,Other_regional_data,8,FALSE)*Other_F_local</f>
        <v>0</v>
      </c>
      <c r="F102" s="47">
        <f>'Intermediate calcs'!J33*VLOOKUP($B$78,Other_regional_data,3,FALSE)*VLOOKUP(IF(ISBLANK($A102),$B102,$A102),Radionuclide_specific,8,FALSE)*VLOOKUP($B$78,Other_regional_data,9,FALSE)*Other_F_local</f>
        <v>1.3426623119377257E-11</v>
      </c>
      <c r="G102" s="46">
        <f t="shared" si="67"/>
        <v>0</v>
      </c>
      <c r="H102" s="46">
        <f t="shared" si="68"/>
        <v>1.3817773767302389E-11</v>
      </c>
      <c r="I102" s="47">
        <f>'Intermediate calcs'!E33*VLOOKUP(IF(ISBLANK($A102),$B102,$A102),Radionuclide_specific,8,FALSE)*VLOOKUP($B$78,Other_regional_data,4,FALSE)*Other_F_local</f>
        <v>2.44375E-11</v>
      </c>
      <c r="J102" s="47">
        <f>'Intermediate calcs'!F33*VLOOKUP(IF(ISBLANK($A102),$B102,$A102),Radionuclide_specific,8,FALSE)*VLOOKUP($B$78,Other_regional_data,4,FALSE)*Other_F_local</f>
        <v>1.2218749999999998E-14</v>
      </c>
      <c r="K102" s="46">
        <f t="shared" si="93"/>
        <v>3.4499999999999999E-9</v>
      </c>
      <c r="L102" s="46">
        <f t="shared" si="93"/>
        <v>3.4499999999999997E-11</v>
      </c>
      <c r="M102" s="47">
        <f t="shared" si="93"/>
        <v>3.8820599999999997E-12</v>
      </c>
      <c r="N102" s="47">
        <f t="shared" si="93"/>
        <v>1.9459439999999999E-15</v>
      </c>
      <c r="O102" s="46">
        <f t="shared" si="69"/>
        <v>3.4783195599999997E-9</v>
      </c>
      <c r="P102" s="46">
        <f t="shared" si="70"/>
        <v>4.8331938461302385E-11</v>
      </c>
    </row>
    <row r="103" spans="1:16">
      <c r="A103" s="4"/>
      <c r="B103" s="4" t="s">
        <v>29</v>
      </c>
      <c r="C103" s="46">
        <f>'Intermediate calcs'!G34*VLOOKUP($B$78,Other_regional_data,2,FALSE)*VLOOKUP(IF(ISBLANK($A103),$B103,$A103),Radionuclide_specific,8,FALSE)*VLOOKUP($B$78,Other_regional_data,8,FALSE)*Other_F_local</f>
        <v>0</v>
      </c>
      <c r="D103" s="46">
        <f>'Intermediate calcs'!H34*VLOOKUP($B$78,Other_regional_data,2,FALSE)*VLOOKUP(IF(ISBLANK($A103),$B103,$A103),Radionuclide_specific,8,FALSE)*VLOOKUP($B$78,Other_regional_data,9,FALSE)*Other_F_local</f>
        <v>1.2962722607153207E-11</v>
      </c>
      <c r="E103" s="47">
        <f>'Intermediate calcs'!I34*VLOOKUP($B$78,Other_regional_data,3,FALSE)*VLOOKUP(IF(ISBLANK($A103),$B103,$A103),Radionuclide_specific,8,FALSE)*VLOOKUP($B$78,Other_regional_data,8,FALSE)*Other_F_local</f>
        <v>0</v>
      </c>
      <c r="F103" s="47">
        <f>'Intermediate calcs'!J34*VLOOKUP($B$78,Other_regional_data,3,FALSE)*VLOOKUP(IF(ISBLANK($A103),$B103,$A103),Radionuclide_specific,8,FALSE)*VLOOKUP($B$78,Other_regional_data,9,FALSE)*Other_F_local</f>
        <v>4.9314606410423004E-11</v>
      </c>
      <c r="G103" s="46">
        <f t="shared" si="67"/>
        <v>0</v>
      </c>
      <c r="H103" s="46">
        <f t="shared" si="68"/>
        <v>6.2277329017576211E-11</v>
      </c>
      <c r="I103" s="47">
        <f>'Intermediate calcs'!E34*VLOOKUP(IF(ISBLANK($A103),$B103,$A103),Radionuclide_specific,8,FALSE)*VLOOKUP($B$78,Other_regional_data,4,FALSE)*Other_F_local</f>
        <v>4.8874999999999993E-11</v>
      </c>
      <c r="J103" s="47">
        <f>'Intermediate calcs'!F34*VLOOKUP(IF(ISBLANK($A103),$B103,$A103),Radionuclide_specific,8,FALSE)*VLOOKUP($B$78,Other_regional_data,4,FALSE)*Other_F_local</f>
        <v>2.4437499999999997E-14</v>
      </c>
      <c r="K103" s="46">
        <f t="shared" si="93"/>
        <v>1.8629999999999999E-8</v>
      </c>
      <c r="L103" s="46">
        <f t="shared" si="93"/>
        <v>1.8630000000000002E-10</v>
      </c>
      <c r="M103" s="47">
        <f t="shared" si="93"/>
        <v>0</v>
      </c>
      <c r="N103" s="47">
        <f t="shared" si="93"/>
        <v>0</v>
      </c>
      <c r="O103" s="46">
        <f t="shared" si="69"/>
        <v>1.8678874999999998E-8</v>
      </c>
      <c r="P103" s="46">
        <f t="shared" si="70"/>
        <v>2.4860176651757621E-10</v>
      </c>
    </row>
    <row r="104" spans="1:16">
      <c r="A104" s="4"/>
      <c r="B104" s="4" t="s">
        <v>108</v>
      </c>
      <c r="C104" s="46">
        <f>'Intermediate calcs'!G35*VLOOKUP($B$78,Other_regional_data,2,FALSE)*VLOOKUP(IF(ISBLANK($A104),$B104,$A104),Radionuclide_specific,8,FALSE)*VLOOKUP($B$78,Other_regional_data,8,FALSE)*Other_F_local</f>
        <v>0</v>
      </c>
      <c r="D104" s="46">
        <f>'Intermediate calcs'!H35*VLOOKUP($B$78,Other_regional_data,2,FALSE)*VLOOKUP(IF(ISBLANK($A104),$B104,$A104),Radionuclide_specific,8,FALSE)*VLOOKUP($B$78,Other_regional_data,9,FALSE)*Other_F_local</f>
        <v>0</v>
      </c>
      <c r="E104" s="47">
        <f>'Intermediate calcs'!I35*VLOOKUP($B$78,Other_regional_data,3,FALSE)*VLOOKUP(IF(ISBLANK($A104),$B104,$A104),Radionuclide_specific,8,FALSE)*VLOOKUP($B$78,Other_regional_data,8,FALSE)*Other_F_local</f>
        <v>0</v>
      </c>
      <c r="F104" s="47">
        <f>'Intermediate calcs'!J35*VLOOKUP($B$78,Other_regional_data,3,FALSE)*VLOOKUP(IF(ISBLANK($A104),$B104,$A104),Radionuclide_specific,8,FALSE)*VLOOKUP($B$78,Other_regional_data,9,FALSE)*Other_F_local</f>
        <v>0</v>
      </c>
      <c r="G104" s="46">
        <f t="shared" si="67"/>
        <v>0</v>
      </c>
      <c r="H104" s="46">
        <f t="shared" si="68"/>
        <v>0</v>
      </c>
      <c r="I104" s="47">
        <f>'Intermediate calcs'!E35*VLOOKUP(IF(ISBLANK($A104),$B104,$A104),Radionuclide_specific,8,FALSE)*VLOOKUP($B$78,Other_regional_data,4,FALSE)*Other_F_local</f>
        <v>1.1421875E-13</v>
      </c>
      <c r="J104" s="47">
        <f>'Intermediate calcs'!F35*VLOOKUP(IF(ISBLANK($A104),$B104,$A104),Radionuclide_specific,8,FALSE)*VLOOKUP($B$78,Other_regional_data,4,FALSE)*Other_F_local</f>
        <v>5.7109375000000007E-17</v>
      </c>
      <c r="K104" s="46">
        <f t="shared" si="93"/>
        <v>1.1610000000000002E-11</v>
      </c>
      <c r="L104" s="46">
        <f t="shared" si="93"/>
        <v>1.1610000000000001E-13</v>
      </c>
      <c r="M104" s="47">
        <f t="shared" si="93"/>
        <v>8.0115480000000007E-9</v>
      </c>
      <c r="N104" s="47">
        <f t="shared" si="93"/>
        <v>4.0159152000000002E-12</v>
      </c>
      <c r="O104" s="46">
        <f t="shared" si="69"/>
        <v>8.0232722187499999E-9</v>
      </c>
      <c r="P104" s="46">
        <f t="shared" si="70"/>
        <v>4.1320723093750004E-12</v>
      </c>
    </row>
    <row r="105" spans="1:16">
      <c r="A105" s="4"/>
      <c r="B105" s="4" t="s">
        <v>109</v>
      </c>
      <c r="C105" s="46">
        <f>'Intermediate calcs'!G36*VLOOKUP($B$78,Other_regional_data,2,FALSE)*VLOOKUP(IF(ISBLANK($A105),$B105,$A105),Radionuclide_specific,8,FALSE)*VLOOKUP($B$78,Other_regional_data,8,FALSE)*Other_F_local</f>
        <v>0</v>
      </c>
      <c r="D105" s="46">
        <f>'Intermediate calcs'!H36*VLOOKUP($B$78,Other_regional_data,2,FALSE)*VLOOKUP(IF(ISBLANK($A105),$B105,$A105),Radionuclide_specific,8,FALSE)*VLOOKUP($B$78,Other_regional_data,9,FALSE)*Other_F_local</f>
        <v>8.2763779838405233E-14</v>
      </c>
      <c r="E105" s="47">
        <f>'Intermediate calcs'!I36*VLOOKUP($B$78,Other_regional_data,3,FALSE)*VLOOKUP(IF(ISBLANK($A105),$B105,$A105),Radionuclide_specific,8,FALSE)*VLOOKUP($B$78,Other_regional_data,8,FALSE)*Other_F_local</f>
        <v>0</v>
      </c>
      <c r="F105" s="47">
        <f>'Intermediate calcs'!J36*VLOOKUP($B$78,Other_regional_data,3,FALSE)*VLOOKUP(IF(ISBLANK($A105),$B105,$A105),Radionuclide_specific,8,FALSE)*VLOOKUP($B$78,Other_regional_data,9,FALSE)*Other_F_local</f>
        <v>4.0459909408086848E-12</v>
      </c>
      <c r="G105" s="46">
        <f t="shared" si="67"/>
        <v>0</v>
      </c>
      <c r="H105" s="46">
        <f t="shared" si="68"/>
        <v>4.1287547206470901E-12</v>
      </c>
      <c r="I105" s="47">
        <f>'Intermediate calcs'!E36*VLOOKUP(IF(ISBLANK($A105),$B105,$A105),Radionuclide_specific,8,FALSE)*VLOOKUP($B$78,Other_regional_data,4,FALSE)*Other_F_local</f>
        <v>7.6499999999999991E-12</v>
      </c>
      <c r="J105" s="47">
        <f>'Intermediate calcs'!F36*VLOOKUP(IF(ISBLANK($A105),$B105,$A105),Radionuclide_specific,8,FALSE)*VLOOKUP($B$78,Other_regional_data,4,FALSE)*Other_F_local</f>
        <v>3.8249999999999996E-15</v>
      </c>
      <c r="K105" s="46">
        <f t="shared" si="93"/>
        <v>1.08E-9</v>
      </c>
      <c r="L105" s="46">
        <f t="shared" si="93"/>
        <v>1.0799999999999999E-11</v>
      </c>
      <c r="M105" s="47">
        <f t="shared" si="93"/>
        <v>1.8173159999999999E-11</v>
      </c>
      <c r="N105" s="47">
        <f t="shared" si="93"/>
        <v>9.1095839999999993E-15</v>
      </c>
      <c r="O105" s="46">
        <f t="shared" si="69"/>
        <v>1.10582316E-9</v>
      </c>
      <c r="P105" s="46">
        <f t="shared" si="70"/>
        <v>1.4941689304647089E-11</v>
      </c>
    </row>
    <row r="106" spans="1:16">
      <c r="A106" s="4"/>
      <c r="B106" s="4" t="s">
        <v>110</v>
      </c>
      <c r="C106" s="46">
        <f>'Intermediate calcs'!G37*VLOOKUP($B$78,Other_regional_data,2,FALSE)*VLOOKUP(IF(ISBLANK($A106),$B106,$A106),Radionuclide_specific,8,FALSE)*VLOOKUP($B$78,Other_regional_data,8,FALSE)*Other_F_local</f>
        <v>0</v>
      </c>
      <c r="D106" s="46">
        <f>'Intermediate calcs'!H37*VLOOKUP($B$78,Other_regional_data,2,FALSE)*VLOOKUP(IF(ISBLANK($A106),$B106,$A106),Radionuclide_specific,8,FALSE)*VLOOKUP($B$78,Other_regional_data,9,FALSE)*Other_F_local</f>
        <v>2.0974030027456556E-16</v>
      </c>
      <c r="E106" s="47">
        <f>'Intermediate calcs'!I37*VLOOKUP($B$78,Other_regional_data,3,FALSE)*VLOOKUP(IF(ISBLANK($A106),$B106,$A106),Radionuclide_specific,8,FALSE)*VLOOKUP($B$78,Other_regional_data,8,FALSE)*Other_F_local</f>
        <v>0</v>
      </c>
      <c r="F106" s="47">
        <f>'Intermediate calcs'!J37*VLOOKUP($B$78,Other_regional_data,3,FALSE)*VLOOKUP(IF(ISBLANK($A106),$B106,$A106),Radionuclide_specific,8,FALSE)*VLOOKUP($B$78,Other_regional_data,9,FALSE)*Other_F_local</f>
        <v>1.0540526561006443E-14</v>
      </c>
      <c r="G106" s="46">
        <f t="shared" si="67"/>
        <v>0</v>
      </c>
      <c r="H106" s="46">
        <f t="shared" si="68"/>
        <v>1.0750266861281008E-14</v>
      </c>
      <c r="I106" s="47">
        <f>'Intermediate calcs'!E37*VLOOKUP(IF(ISBLANK($A106),$B106,$A106),Radionuclide_specific,8,FALSE)*VLOOKUP($B$78,Other_regional_data,4,FALSE)*Other_F_local</f>
        <v>2.6562499999999993E-12</v>
      </c>
      <c r="J106" s="47">
        <f>'Intermediate calcs'!F37*VLOOKUP(IF(ISBLANK($A106),$B106,$A106),Radionuclide_specific,8,FALSE)*VLOOKUP($B$78,Other_regional_data,4,FALSE)*Other_F_local</f>
        <v>1.3281250000000001E-15</v>
      </c>
      <c r="K106" s="46">
        <f t="shared" si="93"/>
        <v>1.6200000000000001E-10</v>
      </c>
      <c r="L106" s="46">
        <f t="shared" si="93"/>
        <v>1.6200000000000002E-12</v>
      </c>
      <c r="M106" s="47">
        <f t="shared" si="93"/>
        <v>1.1518200000000001E-9</v>
      </c>
      <c r="N106" s="47">
        <f t="shared" si="93"/>
        <v>5.7736800000000005E-13</v>
      </c>
      <c r="O106" s="46">
        <f t="shared" si="69"/>
        <v>1.31647625E-9</v>
      </c>
      <c r="P106" s="46">
        <f t="shared" si="70"/>
        <v>2.2094463918612811E-12</v>
      </c>
    </row>
    <row r="107" spans="1:16">
      <c r="A107" s="4" t="s">
        <v>111</v>
      </c>
      <c r="B107" s="4"/>
      <c r="C107" s="46">
        <f>'Intermediate calcs'!G38*VLOOKUP($B$78,Other_regional_data,2,FALSE)*VLOOKUP(IF(ISBLANK($A107),$B107,$A107),Radionuclide_specific,8,FALSE)*VLOOKUP($B$78,Other_regional_data,8,FALSE)*Other_F_local</f>
        <v>0</v>
      </c>
      <c r="D107" s="46">
        <f>'Intermediate calcs'!H38*VLOOKUP($B$78,Other_regional_data,2,FALSE)*VLOOKUP(IF(ISBLANK($A107),$B107,$A107),Radionuclide_specific,8,FALSE)*VLOOKUP($B$78,Other_regional_data,9,FALSE)*Other_F_local</f>
        <v>5.8427042338243997E-13</v>
      </c>
      <c r="E107" s="47">
        <f>'Intermediate calcs'!I38*VLOOKUP($B$78,Other_regional_data,3,FALSE)*VLOOKUP(IF(ISBLANK($A107),$B107,$A107),Radionuclide_specific,8,FALSE)*VLOOKUP($B$78,Other_regional_data,8,FALSE)*Other_F_local</f>
        <v>0</v>
      </c>
      <c r="F107" s="47">
        <f>'Intermediate calcs'!J38*VLOOKUP($B$78,Other_regional_data,3,FALSE)*VLOOKUP(IF(ISBLANK($A107),$B107,$A107),Radionuclide_specific,8,FALSE)*VLOOKUP($B$78,Other_regional_data,9,FALSE)*Other_F_local</f>
        <v>4.1169158089728072E-12</v>
      </c>
      <c r="G107" s="46">
        <f t="shared" ref="G107" si="96">C107+E107</f>
        <v>0</v>
      </c>
      <c r="H107" s="46">
        <f t="shared" ref="H107" si="97">D107+F107</f>
        <v>4.7011862323552475E-12</v>
      </c>
      <c r="I107" s="47">
        <f>'Intermediate calcs'!E38*VLOOKUP(IF(ISBLANK($A107),$B107,$A107),Radionuclide_specific,8,FALSE)*VLOOKUP($B$78,Other_regional_data,4,FALSE)*Other_F_local</f>
        <v>3.9944055944055942E-12</v>
      </c>
      <c r="J107" s="47">
        <f>'Intermediate calcs'!F38*VLOOKUP(IF(ISBLANK($A107),$B107,$A107),Radionuclide_specific,8,FALSE)*VLOOKUP($B$78,Other_regional_data,4,FALSE)*Other_F_local</f>
        <v>3.9008780487804884E-14</v>
      </c>
      <c r="K107" s="46">
        <f t="shared" si="93"/>
        <v>7.3500000000000015E-10</v>
      </c>
      <c r="L107" s="46">
        <f t="shared" si="93"/>
        <v>7.3500000000000008E-12</v>
      </c>
      <c r="M107" s="47">
        <f t="shared" si="93"/>
        <v>6.3161424000000005E-15</v>
      </c>
      <c r="N107" s="47">
        <f t="shared" si="93"/>
        <v>6.164251200000002E-17</v>
      </c>
      <c r="O107" s="46">
        <f t="shared" ref="O107" si="98">G107+I107+K107+M107</f>
        <v>7.3900072173680573E-10</v>
      </c>
      <c r="P107" s="46">
        <f t="shared" ref="P107" si="99">H107+J107+L107+N107</f>
        <v>1.2090256655355052E-11</v>
      </c>
    </row>
    <row r="108" spans="1:16">
      <c r="A108" s="4" t="s">
        <v>30</v>
      </c>
      <c r="B108" s="4"/>
      <c r="C108" s="46">
        <f>'Intermediate calcs'!G39*VLOOKUP($B$78,Other_regional_data,2,FALSE)*VLOOKUP(IF(ISBLANK($A108),$B108,$A108),Radionuclide_specific,8,FALSE)*VLOOKUP($B$78,Other_regional_data,8,FALSE)*Other_F_local</f>
        <v>0</v>
      </c>
      <c r="D108" s="46">
        <f>'Intermediate calcs'!H39*VLOOKUP($B$78,Other_regional_data,2,FALSE)*VLOOKUP(IF(ISBLANK($A108),$B108,$A108),Radionuclide_specific,8,FALSE)*VLOOKUP($B$78,Other_regional_data,9,FALSE)*Other_F_local</f>
        <v>5.3657487861652643E-13</v>
      </c>
      <c r="E108" s="47">
        <f>'Intermediate calcs'!I39*VLOOKUP($B$78,Other_regional_data,3,FALSE)*VLOOKUP(IF(ISBLANK($A108),$B108,$A108),Radionuclide_specific,8,FALSE)*VLOOKUP($B$78,Other_regional_data,8,FALSE)*Other_F_local</f>
        <v>0</v>
      </c>
      <c r="F108" s="47">
        <f>'Intermediate calcs'!J39*VLOOKUP($B$78,Other_regional_data,3,FALSE)*VLOOKUP(IF(ISBLANK($A108),$B108,$A108),Radionuclide_specific,8,FALSE)*VLOOKUP($B$78,Other_regional_data,9,FALSE)*Other_F_local</f>
        <v>3.7808410490566592E-12</v>
      </c>
      <c r="G108" s="46">
        <f t="shared" si="67"/>
        <v>0</v>
      </c>
      <c r="H108" s="46">
        <f t="shared" si="68"/>
        <v>4.3174159276731857E-12</v>
      </c>
      <c r="I108" s="47">
        <f>'Intermediate calcs'!E39*VLOOKUP(IF(ISBLANK($A108),$B108,$A108),Radionuclide_specific,8,FALSE)*VLOOKUP($B$78,Other_regional_data,4,FALSE)*Other_F_local</f>
        <v>3.6683316683316691E-12</v>
      </c>
      <c r="J108" s="47">
        <f>'Intermediate calcs'!F39*VLOOKUP(IF(ISBLANK($A108),$B108,$A108),Radionuclide_specific,8,FALSE)*VLOOKUP($B$78,Other_regional_data,4,FALSE)*Other_F_local</f>
        <v>3.5824390243902442E-14</v>
      </c>
      <c r="K108" s="46">
        <f t="shared" si="93"/>
        <v>6.7500000000000005E-10</v>
      </c>
      <c r="L108" s="46">
        <f t="shared" si="93"/>
        <v>6.7499999999999993E-12</v>
      </c>
      <c r="M108" s="47">
        <f t="shared" si="93"/>
        <v>4.5592632000000009E-15</v>
      </c>
      <c r="N108" s="47">
        <f t="shared" si="93"/>
        <v>4.4496216000000007E-17</v>
      </c>
      <c r="O108" s="46">
        <f t="shared" si="69"/>
        <v>6.7867289093153167E-10</v>
      </c>
      <c r="P108" s="46">
        <f t="shared" si="70"/>
        <v>1.1103284814133087E-11</v>
      </c>
    </row>
    <row r="109" spans="1:16">
      <c r="A109" s="4"/>
      <c r="B109" s="4" t="s">
        <v>31</v>
      </c>
      <c r="C109" s="46">
        <f>'Intermediate calcs'!G40*VLOOKUP($B$78,Other_regional_data,2,FALSE)*VLOOKUP(IF(ISBLANK($A109),$B109,$A109),Radionuclide_specific,8,FALSE)*VLOOKUP($B$78,Other_regional_data,8,FALSE)*Other_F_local</f>
        <v>0</v>
      </c>
      <c r="D109" s="46">
        <f>'Intermediate calcs'!H40*VLOOKUP($B$78,Other_regional_data,2,FALSE)*VLOOKUP(IF(ISBLANK($A109),$B109,$A109),Radionuclide_specific,8,FALSE)*VLOOKUP($B$78,Other_regional_data,9,FALSE)*Other_F_local</f>
        <v>2.4572641723373945E-15</v>
      </c>
      <c r="E109" s="47">
        <f>'Intermediate calcs'!I40*VLOOKUP($B$78,Other_regional_data,3,FALSE)*VLOOKUP(IF(ISBLANK($A109),$B109,$A109),Radionuclide_specific,8,FALSE)*VLOOKUP($B$78,Other_regional_data,8,FALSE)*Other_F_local</f>
        <v>0</v>
      </c>
      <c r="F109" s="47">
        <f>'Intermediate calcs'!J40*VLOOKUP($B$78,Other_regional_data,3,FALSE)*VLOOKUP(IF(ISBLANK($A109),$B109,$A109),Radionuclide_specific,8,FALSE)*VLOOKUP($B$78,Other_regional_data,9,FALSE)*Other_F_local</f>
        <v>1.2279822558754297E-13</v>
      </c>
      <c r="G109" s="46">
        <f t="shared" si="67"/>
        <v>0</v>
      </c>
      <c r="H109" s="46">
        <f t="shared" si="68"/>
        <v>1.2525548975988036E-13</v>
      </c>
      <c r="I109" s="47">
        <f>'Intermediate calcs'!E40*VLOOKUP(IF(ISBLANK($A109),$B109,$A109),Radionuclide_specific,8,FALSE)*VLOOKUP($B$78,Other_regional_data,4,FALSE)*Other_F_local</f>
        <v>1.7322677322677326E-12</v>
      </c>
      <c r="J109" s="47">
        <f>'Intermediate calcs'!F40*VLOOKUP(IF(ISBLANK($A109),$B109,$A109),Radionuclide_specific,8,FALSE)*VLOOKUP($B$78,Other_regional_data,4,FALSE)*Other_F_local</f>
        <v>1.691707317073171E-14</v>
      </c>
      <c r="K109" s="46">
        <f t="shared" si="93"/>
        <v>5.0999999999999998E-11</v>
      </c>
      <c r="L109" s="46">
        <f t="shared" si="93"/>
        <v>5.0999999999999995E-13</v>
      </c>
      <c r="M109" s="47">
        <f t="shared" si="93"/>
        <v>8.0730216000000012E-14</v>
      </c>
      <c r="N109" s="47">
        <f t="shared" si="93"/>
        <v>7.8788808000000002E-16</v>
      </c>
      <c r="O109" s="46">
        <f t="shared" si="69"/>
        <v>5.2812997948267732E-11</v>
      </c>
      <c r="P109" s="46">
        <f t="shared" si="70"/>
        <v>6.5296045101061199E-13</v>
      </c>
    </row>
    <row r="110" spans="1:16">
      <c r="A110" s="4"/>
      <c r="B110" s="4" t="s">
        <v>32</v>
      </c>
      <c r="C110" s="46">
        <f>'Intermediate calcs'!G41*VLOOKUP($B$78,Other_regional_data,2,FALSE)*VLOOKUP(IF(ISBLANK($A110),$B110,$A110),Radionuclide_specific,8,FALSE)*VLOOKUP($B$78,Other_regional_data,8,FALSE)*Other_F_local</f>
        <v>0</v>
      </c>
      <c r="D110" s="46">
        <f>'Intermediate calcs'!H41*VLOOKUP($B$78,Other_regional_data,2,FALSE)*VLOOKUP(IF(ISBLANK($A110),$B110,$A110),Radionuclide_specific,8,FALSE)*VLOOKUP($B$78,Other_regional_data,9,FALSE)*Other_F_local</f>
        <v>0</v>
      </c>
      <c r="E110" s="47">
        <f>'Intermediate calcs'!I41*VLOOKUP($B$78,Other_regional_data,3,FALSE)*VLOOKUP(IF(ISBLANK($A110),$B110,$A110),Radionuclide_specific,8,FALSE)*VLOOKUP($B$78,Other_regional_data,8,FALSE)*Other_F_local</f>
        <v>0</v>
      </c>
      <c r="F110" s="47">
        <f>'Intermediate calcs'!J41*VLOOKUP($B$78,Other_regional_data,3,FALSE)*VLOOKUP(IF(ISBLANK($A110),$B110,$A110),Radionuclide_specific,8,FALSE)*VLOOKUP($B$78,Other_regional_data,9,FALSE)*Other_F_local</f>
        <v>0</v>
      </c>
      <c r="G110" s="46">
        <f t="shared" si="67"/>
        <v>0</v>
      </c>
      <c r="H110" s="46">
        <f t="shared" si="68"/>
        <v>0</v>
      </c>
      <c r="I110" s="47">
        <f>'Intermediate calcs'!E41*VLOOKUP(IF(ISBLANK($A110),$B110,$A110),Radionuclide_specific,8,FALSE)*VLOOKUP($B$78,Other_regional_data,4,FALSE)*Other_F_local</f>
        <v>0</v>
      </c>
      <c r="J110" s="47">
        <f>'Intermediate calcs'!F41*VLOOKUP(IF(ISBLANK($A110),$B110,$A110),Radionuclide_specific,8,FALSE)*VLOOKUP($B$78,Other_regional_data,4,FALSE)*Other_F_local</f>
        <v>0</v>
      </c>
      <c r="K110" s="46">
        <f t="shared" si="93"/>
        <v>0</v>
      </c>
      <c r="L110" s="46">
        <f t="shared" si="93"/>
        <v>0</v>
      </c>
      <c r="M110" s="47">
        <f t="shared" si="93"/>
        <v>1.1640672000000001E-12</v>
      </c>
      <c r="N110" s="47">
        <f t="shared" si="93"/>
        <v>1.1360736000000002E-14</v>
      </c>
      <c r="O110" s="46">
        <f t="shared" si="69"/>
        <v>1.1640672000000001E-12</v>
      </c>
      <c r="P110" s="46">
        <f t="shared" si="70"/>
        <v>1.1360736000000002E-14</v>
      </c>
    </row>
    <row r="111" spans="1:16">
      <c r="A111" s="4" t="s">
        <v>13</v>
      </c>
      <c r="C111" s="46">
        <f>'Intermediate calcs'!G42*VLOOKUP($B$78,Other_regional_data,2,FALSE)*VLOOKUP(IF(ISBLANK($A111),$B111,$A111),Radionuclide_specific,8,FALSE)*VLOOKUP($B$78,Other_regional_data,8,FALSE)*Other_F_local</f>
        <v>0</v>
      </c>
      <c r="D111" s="46">
        <f>'Intermediate calcs'!H42*VLOOKUP($B$78,Other_regional_data,2,FALSE)*VLOOKUP(IF(ISBLANK($A111),$B111,$A111),Radionuclide_specific,8,FALSE)*VLOOKUP($B$78,Other_regional_data,9,FALSE)*Other_F_local</f>
        <v>5.5759180032093081E-13</v>
      </c>
      <c r="E111" s="47">
        <f>'Intermediate calcs'!I42*VLOOKUP($B$78,Other_regional_data,3,FALSE)*VLOOKUP(IF(ISBLANK($A111),$B111,$A111),Radionuclide_specific,8,FALSE)*VLOOKUP($B$78,Other_regional_data,8,FALSE)*Other_F_local</f>
        <v>0</v>
      </c>
      <c r="F111" s="47">
        <f>'Intermediate calcs'!J42*VLOOKUP($B$78,Other_regional_data,3,FALSE)*VLOOKUP(IF(ISBLANK($A111),$B111,$A111),Radionuclide_specific,8,FALSE)*VLOOKUP($B$78,Other_regional_data,9,FALSE)*Other_F_local</f>
        <v>1.5003337496256585E-11</v>
      </c>
      <c r="G111" s="46">
        <f t="shared" si="67"/>
        <v>0</v>
      </c>
      <c r="H111" s="46">
        <f t="shared" si="68"/>
        <v>1.5560929296577517E-11</v>
      </c>
      <c r="I111" s="47">
        <f>'Intermediate calcs'!E42*VLOOKUP(IF(ISBLANK($A111),$B111,$A111),Radionuclide_specific,8,FALSE)*VLOOKUP($B$78,Other_regional_data,4,FALSE)*Other_F_local</f>
        <v>1.0991379310344826E-10</v>
      </c>
      <c r="J111" s="47">
        <f>'Intermediate calcs'!F42*VLOOKUP(IF(ISBLANK($A111),$B111,$A111),Radionuclide_specific,8,FALSE)*VLOOKUP($B$78,Other_regional_data,4,FALSE)*Other_F_local</f>
        <v>5.2685950413223137E-14</v>
      </c>
      <c r="K111" s="46">
        <f t="shared" si="93"/>
        <v>3.375E-9</v>
      </c>
      <c r="L111" s="46">
        <f t="shared" si="93"/>
        <v>3.3750000000000006E-11</v>
      </c>
      <c r="M111" s="47">
        <f t="shared" si="93"/>
        <v>2.5335072000000002E-12</v>
      </c>
      <c r="N111" s="47">
        <f t="shared" si="93"/>
        <v>1.2146112E-15</v>
      </c>
      <c r="O111" s="46">
        <f t="shared" si="69"/>
        <v>3.4874473003034483E-9</v>
      </c>
      <c r="P111" s="46">
        <f t="shared" si="70"/>
        <v>4.9364829858190748E-11</v>
      </c>
    </row>
    <row r="112" spans="1:16" s="114" customFormat="1">
      <c r="A112" s="91" t="s">
        <v>18</v>
      </c>
      <c r="B112" s="91"/>
      <c r="C112" s="89">
        <f>'Intermediate calcs'!G43*VLOOKUP($B$78,Other_regional_data,2,FALSE)*VLOOKUP(IF(ISBLANK($A112),$B112,$A112),Radionuclide_specific,8,FALSE)*VLOOKUP($B$78,Other_regional_data,8,FALSE)*Other_F_local</f>
        <v>0</v>
      </c>
      <c r="D112" s="89">
        <f>'Intermediate calcs'!H43*VLOOKUP($B$78,Other_regional_data,2,FALSE)*VLOOKUP(IF(ISBLANK($A112),$B112,$A112),Radionuclide_specific,8,FALSE)*VLOOKUP($B$78,Other_regional_data,9,FALSE)*Other_F_local</f>
        <v>5.5759180032093081E-13</v>
      </c>
      <c r="E112" s="90">
        <f>'Intermediate calcs'!I43*VLOOKUP($B$78,Other_regional_data,3,FALSE)*VLOOKUP(IF(ISBLANK($A112),$B112,$A112),Radionuclide_specific,8,FALSE)*VLOOKUP($B$78,Other_regional_data,8,FALSE)*Other_F_local</f>
        <v>0</v>
      </c>
      <c r="F112" s="90">
        <f>'Intermediate calcs'!J43*VLOOKUP($B$78,Other_regional_data,3,FALSE)*VLOOKUP(IF(ISBLANK($A112),$B112,$A112),Radionuclide_specific,8,FALSE)*VLOOKUP($B$78,Other_regional_data,9,FALSE)*Other_F_local</f>
        <v>1.5003337496256585E-11</v>
      </c>
      <c r="G112" s="89">
        <f t="shared" si="67"/>
        <v>0</v>
      </c>
      <c r="H112" s="89">
        <f t="shared" si="68"/>
        <v>1.5560929296577517E-11</v>
      </c>
      <c r="I112" s="90">
        <f>'Intermediate calcs'!E43*VLOOKUP(IF(ISBLANK($A112),$B112,$A112),Radionuclide_specific,8,FALSE)*VLOOKUP($B$78,Other_regional_data,4,FALSE)*Other_F_local</f>
        <v>1.0991379310344826E-10</v>
      </c>
      <c r="J112" s="90">
        <f>'Intermediate calcs'!F43*VLOOKUP(IF(ISBLANK($A112),$B112,$A112),Radionuclide_specific,8,FALSE)*VLOOKUP($B$78,Other_regional_data,4,FALSE)*Other_F_local</f>
        <v>5.2685950413223137E-14</v>
      </c>
      <c r="K112" s="89">
        <f t="shared" si="93"/>
        <v>3.375E-9</v>
      </c>
      <c r="L112" s="89">
        <f t="shared" si="93"/>
        <v>3.3750000000000006E-11</v>
      </c>
      <c r="M112" s="90">
        <f t="shared" si="93"/>
        <v>5.3614008000000006E-12</v>
      </c>
      <c r="N112" s="90">
        <f t="shared" si="93"/>
        <v>2.5703568000000008E-15</v>
      </c>
      <c r="O112" s="89">
        <f t="shared" si="69"/>
        <v>3.4902751939034483E-9</v>
      </c>
      <c r="P112" s="89">
        <f t="shared" si="70"/>
        <v>4.9366185603790744E-11</v>
      </c>
    </row>
    <row r="113" spans="1:16" s="114" customFormat="1">
      <c r="A113" s="91" t="s">
        <v>9</v>
      </c>
      <c r="B113" s="91"/>
      <c r="C113" s="89">
        <f>'Intermediate calcs'!G44*VLOOKUP($B$78,Other_regional_data,2,FALSE)*VLOOKUP(IF(ISBLANK($A113),$B113,$A113),Radionuclide_specific,8,FALSE)*VLOOKUP($B$78,Other_regional_data,8,FALSE)*Other_F_local</f>
        <v>0</v>
      </c>
      <c r="D113" s="89">
        <f>'Intermediate calcs'!H44*VLOOKUP($B$78,Other_regional_data,2,FALSE)*VLOOKUP(IF(ISBLANK($A113),$B113,$A113),Radionuclide_specific,8,FALSE)*VLOOKUP($B$78,Other_regional_data,9,FALSE)*Other_F_local</f>
        <v>6.3479681882690575E-13</v>
      </c>
      <c r="E113" s="90">
        <f>'Intermediate calcs'!I44*VLOOKUP($B$78,Other_regional_data,3,FALSE)*VLOOKUP(IF(ISBLANK($A113),$B113,$A113),Radionuclide_specific,8,FALSE)*VLOOKUP($B$78,Other_regional_data,8,FALSE)*Other_F_local</f>
        <v>0</v>
      </c>
      <c r="F113" s="90">
        <f>'Intermediate calcs'!J44*VLOOKUP($B$78,Other_regional_data,3,FALSE)*VLOOKUP(IF(ISBLANK($A113),$B113,$A113),Radionuclide_specific,8,FALSE)*VLOOKUP($B$78,Other_regional_data,9,FALSE)*Other_F_local</f>
        <v>1.2439130724169095E-11</v>
      </c>
      <c r="G113" s="89">
        <f t="shared" si="67"/>
        <v>0</v>
      </c>
      <c r="H113" s="89">
        <f t="shared" si="68"/>
        <v>1.3073927542996E-11</v>
      </c>
      <c r="I113" s="90">
        <f>'Intermediate calcs'!E44*VLOOKUP(IF(ISBLANK($A113),$B113,$A113),Radionuclide_specific,8,FALSE)*VLOOKUP($B$78,Other_regional_data,4,FALSE)*Other_F_local</f>
        <v>1.1999999999999998E-9</v>
      </c>
      <c r="J113" s="90">
        <f>'Intermediate calcs'!F44*VLOOKUP(IF(ISBLANK($A113),$B113,$A113),Radionuclide_specific,8,FALSE)*VLOOKUP($B$78,Other_regional_data,4,FALSE)*Other_F_local</f>
        <v>6.688524590163935E-13</v>
      </c>
      <c r="K113" s="89">
        <f t="shared" si="93"/>
        <v>2.7000000000000002E-9</v>
      </c>
      <c r="L113" s="89">
        <f t="shared" si="93"/>
        <v>2.7000000000000004E-11</v>
      </c>
      <c r="M113" s="90">
        <f t="shared" si="93"/>
        <v>1.7715456E-10</v>
      </c>
      <c r="N113" s="90">
        <f t="shared" si="93"/>
        <v>9.8642880000000008E-14</v>
      </c>
      <c r="O113" s="89">
        <f t="shared" si="69"/>
        <v>4.0771545600000002E-9</v>
      </c>
      <c r="P113" s="89">
        <f t="shared" si="70"/>
        <v>4.0841422882012397E-11</v>
      </c>
    </row>
    <row r="115" spans="1:16" s="113" customFormat="1" ht="12.75">
      <c r="A115" s="44" t="s">
        <v>297</v>
      </c>
      <c r="B115" s="44" t="s">
        <v>63</v>
      </c>
      <c r="C115" s="133" t="s">
        <v>153</v>
      </c>
      <c r="D115" s="133"/>
      <c r="E115" s="133"/>
      <c r="F115" s="133"/>
      <c r="G115" s="133"/>
      <c r="H115" s="133"/>
      <c r="I115" s="133"/>
      <c r="J115" s="133"/>
      <c r="K115" s="133" t="s">
        <v>154</v>
      </c>
      <c r="L115" s="133"/>
      <c r="M115" s="133"/>
      <c r="N115" s="133"/>
      <c r="O115" s="133" t="s">
        <v>64</v>
      </c>
      <c r="P115" s="133"/>
    </row>
    <row r="116" spans="1:16">
      <c r="A116" s="129" t="s">
        <v>149</v>
      </c>
      <c r="B116" s="129" t="s">
        <v>150</v>
      </c>
      <c r="C116" s="131" t="s">
        <v>217</v>
      </c>
      <c r="D116" s="131"/>
      <c r="E116" s="132" t="s">
        <v>216</v>
      </c>
      <c r="F116" s="132"/>
      <c r="G116" s="131" t="s">
        <v>215</v>
      </c>
      <c r="H116" s="131"/>
      <c r="I116" s="132" t="s">
        <v>214</v>
      </c>
      <c r="J116" s="132"/>
      <c r="K116" s="131" t="s">
        <v>201</v>
      </c>
      <c r="L116" s="131"/>
      <c r="M116" s="132" t="s">
        <v>202</v>
      </c>
      <c r="N116" s="132"/>
      <c r="O116" s="131" t="s">
        <v>213</v>
      </c>
      <c r="P116" s="131"/>
    </row>
    <row r="117" spans="1:16">
      <c r="A117" s="129"/>
      <c r="B117" s="129"/>
      <c r="C117" s="70" t="s">
        <v>73</v>
      </c>
      <c r="D117" s="70" t="s">
        <v>74</v>
      </c>
      <c r="E117" s="69" t="s">
        <v>73</v>
      </c>
      <c r="F117" s="69" t="s">
        <v>74</v>
      </c>
      <c r="G117" s="70" t="s">
        <v>73</v>
      </c>
      <c r="H117" s="70" t="s">
        <v>74</v>
      </c>
      <c r="I117" s="69" t="s">
        <v>73</v>
      </c>
      <c r="J117" s="69" t="s">
        <v>74</v>
      </c>
      <c r="K117" s="70" t="s">
        <v>73</v>
      </c>
      <c r="L117" s="70" t="s">
        <v>74</v>
      </c>
      <c r="M117" s="69" t="s">
        <v>73</v>
      </c>
      <c r="N117" s="69" t="s">
        <v>74</v>
      </c>
      <c r="O117" s="48" t="s">
        <v>73</v>
      </c>
      <c r="P117" s="48" t="s">
        <v>74</v>
      </c>
    </row>
    <row r="118" spans="1:16">
      <c r="A118" s="4" t="s">
        <v>33</v>
      </c>
      <c r="B118" s="4"/>
      <c r="C118" s="46">
        <f>'Intermediate calcs'!G12*VLOOKUP($B$115,Other_regional_data,2,FALSE)*VLOOKUP(IF(ISBLANK($A118),$B118,$A118),Radionuclide_specific,8,FALSE)*VLOOKUP($B$115,Other_regional_data,8,FALSE)*Other_F_local</f>
        <v>0</v>
      </c>
      <c r="D118" s="46">
        <f>'Intermediate calcs'!H12*VLOOKUP($B$115,Other_regional_data,2,FALSE)*VLOOKUP(IF(ISBLANK($A118),$B118,$A118),Radionuclide_specific,8,FALSE)*VLOOKUP($B$115,Other_regional_data,9,FALSE)*Other_F_local</f>
        <v>6.7376647426923268E-18</v>
      </c>
      <c r="E118" s="47">
        <f>'Intermediate calcs'!I12*VLOOKUP($B$115,Other_regional_data,3,FALSE)*VLOOKUP(IF(ISBLANK($A118),$B118,$A118),Radionuclide_specific,8,FALSE)*VLOOKUP($B$115,Other_regional_data,8,FALSE)*Other_F_local</f>
        <v>0</v>
      </c>
      <c r="F118" s="47">
        <f>'Intermediate calcs'!J12*VLOOKUP($B$115,Other_regional_data,3,FALSE)*VLOOKUP(IF(ISBLANK($A118),$B118,$A118),Radionuclide_specific,8,FALSE)*VLOOKUP($B$115,Other_regional_data,9,FALSE)*Other_F_local</f>
        <v>1.0106709190360261E-16</v>
      </c>
      <c r="G118" s="46">
        <f>C118+E118</f>
        <v>0</v>
      </c>
      <c r="H118" s="46">
        <f>D118+F118</f>
        <v>1.0780475664629493E-16</v>
      </c>
      <c r="I118" s="47">
        <f>'Intermediate calcs'!E12*VLOOKUP(IF(ISBLANK($A118),$B118,$A118),Radionuclide_specific,8,FALSE)*VLOOKUP($B$115,Other_regional_data,4,FALSE)*Other_F_local</f>
        <v>5.6160000000000009E-16</v>
      </c>
      <c r="J118" s="47">
        <f>'Intermediate calcs'!F12*VLOOKUP(IF(ISBLANK($A118),$B118,$A118),Radionuclide_specific,8,FALSE)*VLOOKUP($B$115,Other_regional_data,4,FALSE)*Other_F_local</f>
        <v>5.616E-18</v>
      </c>
      <c r="K118" s="46">
        <f t="shared" ref="K118:N137" si="100">K81</f>
        <v>9E-13</v>
      </c>
      <c r="L118" s="46">
        <f t="shared" si="100"/>
        <v>8.9999999999999995E-15</v>
      </c>
      <c r="M118" s="47">
        <f t="shared" si="100"/>
        <v>0</v>
      </c>
      <c r="N118" s="47">
        <f t="shared" si="100"/>
        <v>0</v>
      </c>
      <c r="O118" s="46">
        <f>G118+I118+K118+M118</f>
        <v>9.0056159999999997E-13</v>
      </c>
      <c r="P118" s="46">
        <f>H118+J118+L118+N118</f>
        <v>9.1134207566462947E-15</v>
      </c>
    </row>
    <row r="119" spans="1:16">
      <c r="A119" s="4"/>
      <c r="B119" s="4" t="s">
        <v>43</v>
      </c>
      <c r="C119" s="46">
        <f>'Intermediate calcs'!G13*VLOOKUP($B$115,Other_regional_data,2,FALSE)*VLOOKUP(IF(ISBLANK($A119),$B119,$A119),Radionuclide_specific,8,FALSE)*VLOOKUP($B$115,Other_regional_data,8,FALSE)*Other_F_local</f>
        <v>0</v>
      </c>
      <c r="D119" s="46">
        <f>'Intermediate calcs'!H13*VLOOKUP($B$115,Other_regional_data,2,FALSE)*VLOOKUP(IF(ISBLANK($A119),$B119,$A119),Radionuclide_specific,8,FALSE)*VLOOKUP($B$115,Other_regional_data,9,FALSE)*Other_F_local</f>
        <v>3.4863372444587191E-17</v>
      </c>
      <c r="E119" s="47">
        <f>'Intermediate calcs'!I13*VLOOKUP($B$115,Other_regional_data,3,FALSE)*VLOOKUP(IF(ISBLANK($A119),$B119,$A119),Radionuclide_specific,8,FALSE)*VLOOKUP($B$115,Other_regional_data,8,FALSE)*Other_F_local</f>
        <v>0</v>
      </c>
      <c r="F119" s="47">
        <f>'Intermediate calcs'!J13*VLOOKUP($B$115,Other_regional_data,3,FALSE)*VLOOKUP(IF(ISBLANK($A119),$B119,$A119),Radionuclide_specific,8,FALSE)*VLOOKUP($B$115,Other_regional_data,9,FALSE)*Other_F_local</f>
        <v>5.6474533267178265E-18</v>
      </c>
      <c r="G119" s="46">
        <f t="shared" ref="G119:G150" si="101">C119+E119</f>
        <v>0</v>
      </c>
      <c r="H119" s="46">
        <f t="shared" ref="H119:H150" si="102">D119+F119</f>
        <v>4.0510825771305019E-17</v>
      </c>
      <c r="I119" s="47">
        <f>'Intermediate calcs'!E13*VLOOKUP(IF(ISBLANK($A119),$B119,$A119),Radionuclide_specific,8,FALSE)*VLOOKUP($B$115,Other_regional_data,4,FALSE)*Other_F_local</f>
        <v>1.5855839999999998E-19</v>
      </c>
      <c r="J119" s="47">
        <f>'Intermediate calcs'!F13*VLOOKUP(IF(ISBLANK($A119),$B119,$A119),Radionuclide_specific,8,FALSE)*VLOOKUP($B$115,Other_regional_data,4,FALSE)*Other_F_local</f>
        <v>1.5855839999999998E-21</v>
      </c>
      <c r="K119" s="46">
        <f t="shared" si="100"/>
        <v>2.0999999999999999E-12</v>
      </c>
      <c r="L119" s="46">
        <f t="shared" si="100"/>
        <v>2.0999999999999999E-14</v>
      </c>
      <c r="M119" s="47">
        <f t="shared" si="100"/>
        <v>0</v>
      </c>
      <c r="N119" s="47">
        <f t="shared" si="100"/>
        <v>0</v>
      </c>
      <c r="O119" s="46">
        <f t="shared" ref="O119:O150" si="103">G119+I119+K119+M119</f>
        <v>2.1000001585584E-12</v>
      </c>
      <c r="P119" s="46">
        <f t="shared" ref="P119:P150" si="104">H119+J119+L119+N119</f>
        <v>2.1040512411355303E-14</v>
      </c>
    </row>
    <row r="120" spans="1:16">
      <c r="A120" s="4" t="s">
        <v>10</v>
      </c>
      <c r="B120" s="4"/>
      <c r="C120" s="46">
        <f>'Intermediate calcs'!G14*VLOOKUP($B$115,Other_regional_data,2,FALSE)*VLOOKUP(IF(ISBLANK($A120),$B120,$A120),Radionuclide_specific,8,FALSE)*VLOOKUP($B$115,Other_regional_data,8,FALSE)*Other_F_local</f>
        <v>0</v>
      </c>
      <c r="D120" s="46">
        <f>'Intermediate calcs'!H14*VLOOKUP($B$115,Other_regional_data,2,FALSE)*VLOOKUP(IF(ISBLANK($A120),$B120,$A120),Radionuclide_specific,8,FALSE)*VLOOKUP($B$115,Other_regional_data,9,FALSE)*Other_F_local</f>
        <v>1.3119037179928757E-12</v>
      </c>
      <c r="E120" s="47">
        <f>'Intermediate calcs'!I14*VLOOKUP($B$115,Other_regional_data,3,FALSE)*VLOOKUP(IF(ISBLANK($A120),$B120,$A120),Radionuclide_specific,8,FALSE)*VLOOKUP($B$115,Other_regional_data,8,FALSE)*Other_F_local</f>
        <v>0</v>
      </c>
      <c r="F120" s="47">
        <f>'Intermediate calcs'!J14*VLOOKUP($B$115,Other_regional_data,3,FALSE)*VLOOKUP(IF(ISBLANK($A120),$B120,$A120),Radionuclide_specific,8,FALSE)*VLOOKUP($B$115,Other_regional_data,9,FALSE)*Other_F_local</f>
        <v>1.9744784656651692E-13</v>
      </c>
      <c r="G120" s="46">
        <f t="shared" si="101"/>
        <v>0</v>
      </c>
      <c r="H120" s="46">
        <f t="shared" si="102"/>
        <v>1.5093515645593927E-12</v>
      </c>
      <c r="I120" s="47">
        <f>'Intermediate calcs'!E14*VLOOKUP(IF(ISBLANK($A120),$B120,$A120),Radionuclide_specific,8,FALSE)*VLOOKUP($B$115,Other_regional_data,4,FALSE)*Other_F_local</f>
        <v>9.279072092790722E-9</v>
      </c>
      <c r="J120" s="47">
        <f>'Intermediate calcs'!F14*VLOOKUP(IF(ISBLANK($A120),$B120,$A120),Radionuclide_specific,8,FALSE)*VLOOKUP($B$115,Other_regional_data,4,FALSE)*Other_F_local</f>
        <v>9.2568578553615973E-11</v>
      </c>
      <c r="K120" s="46">
        <f t="shared" si="100"/>
        <v>2.9E-11</v>
      </c>
      <c r="L120" s="46">
        <f t="shared" si="100"/>
        <v>2.8999999999999998E-13</v>
      </c>
      <c r="M120" s="47">
        <f t="shared" si="100"/>
        <v>1.3688568000000001E-17</v>
      </c>
      <c r="N120" s="47">
        <f t="shared" si="100"/>
        <v>1.3661136000000002E-19</v>
      </c>
      <c r="O120" s="46">
        <f t="shared" si="103"/>
        <v>9.3080721064792904E-9</v>
      </c>
      <c r="P120" s="46">
        <f t="shared" si="104"/>
        <v>9.4367930254786738E-11</v>
      </c>
    </row>
    <row r="121" spans="1:16">
      <c r="A121" s="4" t="s">
        <v>240</v>
      </c>
      <c r="B121" s="4"/>
      <c r="C121" s="46">
        <f>'Intermediate calcs'!G15*VLOOKUP($B$115,Other_regional_data,2,FALSE)*VLOOKUP(IF(ISBLANK($A121),$B121,$A121),Radionuclide_specific,8,FALSE)*VLOOKUP($B$115,Other_regional_data,8,FALSE)*Other_F_local</f>
        <v>0</v>
      </c>
      <c r="D121" s="46">
        <f>'Intermediate calcs'!H15*VLOOKUP($B$115,Other_regional_data,2,FALSE)*VLOOKUP(IF(ISBLANK($A121),$B121,$A121),Radionuclide_specific,8,FALSE)*VLOOKUP($B$115,Other_regional_data,9,FALSE)*Other_F_local</f>
        <v>3.4861514298946736E-14</v>
      </c>
      <c r="E121" s="47">
        <f>'Intermediate calcs'!I15*VLOOKUP($B$115,Other_regional_data,3,FALSE)*VLOOKUP(IF(ISBLANK($A121),$B121,$A121),Radionuclide_specific,8,FALSE)*VLOOKUP($B$115,Other_regional_data,8,FALSE)*Other_F_local</f>
        <v>0</v>
      </c>
      <c r="F121" s="47">
        <f>'Intermediate calcs'!J15*VLOOKUP($B$115,Other_regional_data,3,FALSE)*VLOOKUP(IF(ISBLANK($A121),$B121,$A121),Radionuclide_specific,8,FALSE)*VLOOKUP($B$115,Other_regional_data,9,FALSE)*Other_F_local</f>
        <v>2.2492426939705795E-14</v>
      </c>
      <c r="G121" s="46">
        <f t="shared" si="101"/>
        <v>0</v>
      </c>
      <c r="H121" s="46">
        <f t="shared" si="102"/>
        <v>5.7353941238652531E-14</v>
      </c>
      <c r="I121" s="47">
        <f>'Intermediate calcs'!E15*VLOOKUP(IF(ISBLANK($A121),$B121,$A121),Radionuclide_specific,8,FALSE)*VLOOKUP($B$115,Other_regional_data,4,FALSE)*Other_F_local</f>
        <v>2.4541832669322709E-11</v>
      </c>
      <c r="J121" s="47">
        <f>'Intermediate calcs'!F15*VLOOKUP(IF(ISBLANK($A121),$B121,$A121),Radionuclide_specific,8,FALSE)*VLOOKUP($B$115,Other_regional_data,4,FALSE)*Other_F_local</f>
        <v>2.2400000000000003E-13</v>
      </c>
      <c r="K121" s="46">
        <f t="shared" si="100"/>
        <v>2.0790000000000003E-11</v>
      </c>
      <c r="L121" s="46">
        <f t="shared" si="100"/>
        <v>2.0790000000000003E-13</v>
      </c>
      <c r="M121" s="47">
        <f t="shared" si="100"/>
        <v>5.7168720000000014E-16</v>
      </c>
      <c r="N121" s="47">
        <f t="shared" si="100"/>
        <v>5.2284960000000007E-18</v>
      </c>
      <c r="O121" s="46">
        <f t="shared" si="103"/>
        <v>4.5332404356522714E-11</v>
      </c>
      <c r="P121" s="46">
        <f t="shared" si="104"/>
        <v>4.892591697346526E-13</v>
      </c>
    </row>
    <row r="122" spans="1:16">
      <c r="A122" s="4" t="s">
        <v>237</v>
      </c>
      <c r="B122" s="4"/>
      <c r="C122" s="46">
        <f>'Intermediate calcs'!G16*VLOOKUP($B$115,Other_regional_data,2,FALSE)*VLOOKUP(IF(ISBLANK($A122),$B122,$A122),Radionuclide_specific,8,FALSE)*VLOOKUP($B$115,Other_regional_data,8,FALSE)*Other_F_local</f>
        <v>0</v>
      </c>
      <c r="D122" s="46">
        <f>'Intermediate calcs'!H16*VLOOKUP($B$115,Other_regional_data,2,FALSE)*VLOOKUP(IF(ISBLANK($A122),$B122,$A122),Radionuclide_specific,8,FALSE)*VLOOKUP($B$115,Other_regional_data,9,FALSE)*Other_F_local</f>
        <v>7.4286911950285088E-15</v>
      </c>
      <c r="E122" s="47">
        <f>'Intermediate calcs'!I16*VLOOKUP($B$115,Other_regional_data,3,FALSE)*VLOOKUP(IF(ISBLANK($A122),$B122,$A122),Radionuclide_specific,8,FALSE)*VLOOKUP($B$115,Other_regional_data,8,FALSE)*Other_F_local</f>
        <v>0</v>
      </c>
      <c r="F122" s="47">
        <f>'Intermediate calcs'!J16*VLOOKUP($B$115,Other_regional_data,3,FALSE)*VLOOKUP(IF(ISBLANK($A122),$B122,$A122),Radionuclide_specific,8,FALSE)*VLOOKUP($B$115,Other_regional_data,9,FALSE)*Other_F_local</f>
        <v>2.1751466407007218E-14</v>
      </c>
      <c r="G122" s="46">
        <f t="shared" ref="G122" si="105">C122+E122</f>
        <v>0</v>
      </c>
      <c r="H122" s="46">
        <f t="shared" ref="H122" si="106">D122+F122</f>
        <v>2.9180157602035727E-14</v>
      </c>
      <c r="I122" s="47">
        <f>'Intermediate calcs'!E16*VLOOKUP(IF(ISBLANK($A122),$B122,$A122),Radionuclide_specific,8,FALSE)*VLOOKUP($B$115,Other_regional_data,4,FALSE)*Other_F_local</f>
        <v>2.6418604651162795E-12</v>
      </c>
      <c r="J122" s="47">
        <f>'Intermediate calcs'!F16*VLOOKUP(IF(ISBLANK($A122),$B122,$A122),Radionuclide_specific,8,FALSE)*VLOOKUP($B$115,Other_regional_data,4,FALSE)*Other_F_local</f>
        <v>1.6829629629629632E-15</v>
      </c>
      <c r="K122" s="46">
        <f t="shared" si="100"/>
        <v>1.2780000000000002E-11</v>
      </c>
      <c r="L122" s="46">
        <f t="shared" si="100"/>
        <v>1.278E-13</v>
      </c>
      <c r="M122" s="47">
        <f t="shared" si="100"/>
        <v>5.2281936000000011E-9</v>
      </c>
      <c r="N122" s="47">
        <f t="shared" si="100"/>
        <v>3.3316920000000003E-12</v>
      </c>
      <c r="O122" s="46">
        <f t="shared" ref="O122" si="107">G122+I122+K122+M122</f>
        <v>5.2436154604651172E-9</v>
      </c>
      <c r="P122" s="46">
        <f t="shared" ref="P122" si="108">H122+J122+L122+N122</f>
        <v>3.4903551205649989E-12</v>
      </c>
    </row>
    <row r="123" spans="1:16">
      <c r="A123" s="4" t="s">
        <v>236</v>
      </c>
      <c r="B123" s="4"/>
      <c r="C123" s="46">
        <f>'Intermediate calcs'!G17*VLOOKUP($B$115,Other_regional_data,2,FALSE)*VLOOKUP(IF(ISBLANK($A123),$B123,$A123),Radionuclide_specific,8,FALSE)*VLOOKUP($B$115,Other_regional_data,8,FALSE)*Other_F_local</f>
        <v>0</v>
      </c>
      <c r="D123" s="46">
        <f>'Intermediate calcs'!H17*VLOOKUP($B$115,Other_regional_data,2,FALSE)*VLOOKUP(IF(ISBLANK($A123),$B123,$A123),Radionuclide_specific,8,FALSE)*VLOOKUP($B$115,Other_regional_data,9,FALSE)*Other_F_local</f>
        <v>4.7784829738551409E-15</v>
      </c>
      <c r="E123" s="47">
        <f>'Intermediate calcs'!I17*VLOOKUP($B$115,Other_regional_data,3,FALSE)*VLOOKUP(IF(ISBLANK($A123),$B123,$A123),Radionuclide_specific,8,FALSE)*VLOOKUP($B$115,Other_regional_data,8,FALSE)*Other_F_local</f>
        <v>0</v>
      </c>
      <c r="F123" s="47">
        <f>'Intermediate calcs'!J17*VLOOKUP($B$115,Other_regional_data,3,FALSE)*VLOOKUP(IF(ISBLANK($A123),$B123,$A123),Radionuclide_specific,8,FALSE)*VLOOKUP($B$115,Other_regional_data,9,FALSE)*Other_F_local</f>
        <v>1.6273583186742689E-14</v>
      </c>
      <c r="G123" s="46">
        <f t="shared" ref="G123" si="109">C123+E123</f>
        <v>0</v>
      </c>
      <c r="H123" s="46">
        <f t="shared" ref="H123" si="110">D123+F123</f>
        <v>2.105206616059783E-14</v>
      </c>
      <c r="I123" s="47">
        <f>'Intermediate calcs'!E17*VLOOKUP(IF(ISBLANK($A123),$B123,$A123),Radionuclide_specific,8,FALSE)*VLOOKUP($B$115,Other_regional_data,4,FALSE)*Other_F_local</f>
        <v>1.1965957446808512E-12</v>
      </c>
      <c r="J123" s="47">
        <f>'Intermediate calcs'!F17*VLOOKUP(IF(ISBLANK($A123),$B123,$A123),Radionuclide_specific,8,FALSE)*VLOOKUP($B$115,Other_regional_data,4,FALSE)*Other_F_local</f>
        <v>9.7808695652173915E-16</v>
      </c>
      <c r="K123" s="46">
        <f t="shared" si="100"/>
        <v>1.9980000000000002E-11</v>
      </c>
      <c r="L123" s="46">
        <f t="shared" si="100"/>
        <v>1.9980000000000004E-13</v>
      </c>
      <c r="M123" s="47">
        <f t="shared" si="100"/>
        <v>4.655340000000001E-9</v>
      </c>
      <c r="N123" s="47">
        <f t="shared" si="100"/>
        <v>3.8161800000000004E-12</v>
      </c>
      <c r="O123" s="46">
        <f t="shared" ref="O123" si="111">G123+I123+K123+M123</f>
        <v>4.6765165957446819E-9</v>
      </c>
      <c r="P123" s="46">
        <f t="shared" ref="P123" si="112">H123+J123+L123+N123</f>
        <v>4.03801015311712E-12</v>
      </c>
    </row>
    <row r="124" spans="1:16">
      <c r="A124" s="4" t="s">
        <v>11</v>
      </c>
      <c r="B124" s="4"/>
      <c r="C124" s="46">
        <f>'Intermediate calcs'!G18*VLOOKUP($B$115,Other_regional_data,2,FALSE)*VLOOKUP(IF(ISBLANK($A124),$B124,$A124),Radionuclide_specific,8,FALSE)*VLOOKUP($B$115,Other_regional_data,8,FALSE)*Other_F_local</f>
        <v>0</v>
      </c>
      <c r="D124" s="46">
        <f>'Intermediate calcs'!H18*VLOOKUP($B$115,Other_regional_data,2,FALSE)*VLOOKUP(IF(ISBLANK($A124),$B124,$A124),Radionuclide_specific,8,FALSE)*VLOOKUP($B$115,Other_regional_data,9,FALSE)*Other_F_local</f>
        <v>4.3745307452179251E-14</v>
      </c>
      <c r="E124" s="47">
        <f>'Intermediate calcs'!I18*VLOOKUP($B$115,Other_regional_data,3,FALSE)*VLOOKUP(IF(ISBLANK($A124),$B124,$A124),Radionuclide_specific,8,FALSE)*VLOOKUP($B$115,Other_regional_data,8,FALSE)*Other_F_local</f>
        <v>0</v>
      </c>
      <c r="F124" s="47">
        <f>'Intermediate calcs'!J18*VLOOKUP($B$115,Other_regional_data,3,FALSE)*VLOOKUP(IF(ISBLANK($A124),$B124,$A124),Radionuclide_specific,8,FALSE)*VLOOKUP($B$115,Other_regional_data,9,FALSE)*Other_F_local</f>
        <v>1.2031109162342893E-13</v>
      </c>
      <c r="G124" s="46">
        <f t="shared" si="101"/>
        <v>0</v>
      </c>
      <c r="H124" s="46">
        <f t="shared" si="102"/>
        <v>1.6405639907560817E-13</v>
      </c>
      <c r="I124" s="47">
        <f>'Intermediate calcs'!E18*VLOOKUP(IF(ISBLANK($A124),$B124,$A124),Radionuclide_specific,8,FALSE)*VLOOKUP($B$115,Other_regional_data,4,FALSE)*Other_F_local</f>
        <v>5.4978723404255315E-12</v>
      </c>
      <c r="J124" s="47">
        <f>'Intermediate calcs'!F18*VLOOKUP(IF(ISBLANK($A124),$B124,$A124),Radionuclide_specific,8,FALSE)*VLOOKUP($B$115,Other_regional_data,4,FALSE)*Other_F_local</f>
        <v>4.4939130434782612E-15</v>
      </c>
      <c r="K124" s="46">
        <f t="shared" si="100"/>
        <v>9.1800000000000009E-11</v>
      </c>
      <c r="L124" s="46">
        <f t="shared" si="100"/>
        <v>9.1800000000000013E-13</v>
      </c>
      <c r="M124" s="47">
        <f t="shared" si="100"/>
        <v>1.162512E-8</v>
      </c>
      <c r="N124" s="47">
        <f t="shared" si="100"/>
        <v>9.4888800000000007E-12</v>
      </c>
      <c r="O124" s="46">
        <f t="shared" si="103"/>
        <v>1.1722417872340425E-8</v>
      </c>
      <c r="P124" s="46">
        <f t="shared" si="104"/>
        <v>1.0575430312119087E-11</v>
      </c>
    </row>
    <row r="125" spans="1:16">
      <c r="A125" s="4" t="s">
        <v>178</v>
      </c>
      <c r="B125" s="4"/>
      <c r="C125" s="46">
        <f>'Intermediate calcs'!G19*VLOOKUP($B$115,Other_regional_data,2,FALSE)*VLOOKUP(IF(ISBLANK($A125),$B125,$A125),Radionuclide_specific,8,FALSE)*VLOOKUP($B$115,Other_regional_data,8,FALSE)*Other_F_local</f>
        <v>0</v>
      </c>
      <c r="D125" s="46">
        <f>'Intermediate calcs'!H19*VLOOKUP($B$115,Other_regional_data,2,FALSE)*VLOOKUP(IF(ISBLANK($A125),$B125,$A125),Radionuclide_specific,8,FALSE)*VLOOKUP($B$115,Other_regional_data,9,FALSE)*Other_F_local</f>
        <v>8.5682054746096935E-14</v>
      </c>
      <c r="E125" s="47">
        <f>'Intermediate calcs'!I19*VLOOKUP($B$115,Other_regional_data,3,FALSE)*VLOOKUP(IF(ISBLANK($A125),$B125,$A125),Radionuclide_specific,8,FALSE)*VLOOKUP($B$115,Other_regional_data,8,FALSE)*Other_F_local</f>
        <v>0</v>
      </c>
      <c r="F125" s="47">
        <f>'Intermediate calcs'!J19*VLOOKUP($B$115,Other_regional_data,3,FALSE)*VLOOKUP(IF(ISBLANK($A125),$B125,$A125),Radionuclide_specific,8,FALSE)*VLOOKUP($B$115,Other_regional_data,9,FALSE)*Other_F_local</f>
        <v>2.0561654782385468E-13</v>
      </c>
      <c r="G125" s="46">
        <f t="shared" ref="G125" si="113">C125+E125</f>
        <v>0</v>
      </c>
      <c r="H125" s="46">
        <f t="shared" ref="H125" si="114">D125+F125</f>
        <v>2.9129860256995159E-13</v>
      </c>
      <c r="I125" s="47">
        <f>'Intermediate calcs'!E19*VLOOKUP(IF(ISBLANK($A125),$B125,$A125),Radionuclide_specific,8,FALSE)*VLOOKUP($B$115,Other_regional_data,4,FALSE)*Other_F_local</f>
        <v>5.2514851485148519E-10</v>
      </c>
      <c r="J125" s="47">
        <f>'Intermediate calcs'!F19*VLOOKUP(IF(ISBLANK($A125),$B125,$A125),Radionuclide_specific,8,FALSE)*VLOOKUP($B$115,Other_regional_data,4,FALSE)*Other_F_local</f>
        <v>4.2432000000000011E-12</v>
      </c>
      <c r="K125" s="46">
        <f t="shared" si="100"/>
        <v>1.0530000000000001E-10</v>
      </c>
      <c r="L125" s="46">
        <f t="shared" si="100"/>
        <v>1.0530000000000001E-12</v>
      </c>
      <c r="M125" s="47">
        <f t="shared" si="100"/>
        <v>5.7726864000000016E-11</v>
      </c>
      <c r="N125" s="47">
        <f t="shared" si="100"/>
        <v>4.6625544000000009E-13</v>
      </c>
      <c r="O125" s="46">
        <f t="shared" ref="O125" si="115">G125+I125+K125+M125</f>
        <v>6.8817537885148525E-10</v>
      </c>
      <c r="P125" s="46">
        <f t="shared" ref="P125" si="116">H125+J125+L125+N125</f>
        <v>6.053754042569952E-12</v>
      </c>
    </row>
    <row r="126" spans="1:16">
      <c r="A126" s="4" t="s">
        <v>17</v>
      </c>
      <c r="B126" s="4"/>
      <c r="C126" s="46">
        <f>'Intermediate calcs'!G20*VLOOKUP($B$115,Other_regional_data,2,FALSE)*VLOOKUP(IF(ISBLANK($A126),$B126,$A126),Radionuclide_specific,8,FALSE)*VLOOKUP($B$115,Other_regional_data,8,FALSE)*Other_F_local</f>
        <v>0</v>
      </c>
      <c r="D126" s="46">
        <f>'Intermediate calcs'!H20*VLOOKUP($B$115,Other_regional_data,2,FALSE)*VLOOKUP(IF(ISBLANK($A126),$B126,$A126),Radionuclide_specific,8,FALSE)*VLOOKUP($B$115,Other_regional_data,9,FALSE)*Other_F_local</f>
        <v>2.4096333061616607E-12</v>
      </c>
      <c r="E126" s="47">
        <f>'Intermediate calcs'!I20*VLOOKUP($B$115,Other_regional_data,3,FALSE)*VLOOKUP(IF(ISBLANK($A126),$B126,$A126),Radionuclide_specific,8,FALSE)*VLOOKUP($B$115,Other_regional_data,8,FALSE)*Other_F_local</f>
        <v>0</v>
      </c>
      <c r="F126" s="47">
        <f>'Intermediate calcs'!J20*VLOOKUP($B$115,Other_regional_data,3,FALSE)*VLOOKUP(IF(ISBLANK($A126),$B126,$A126),Radionuclide_specific,8,FALSE)*VLOOKUP($B$115,Other_regional_data,9,FALSE)*Other_F_local</f>
        <v>4.820993209545219E-12</v>
      </c>
      <c r="G126" s="46">
        <f t="shared" si="101"/>
        <v>0</v>
      </c>
      <c r="H126" s="46">
        <f t="shared" si="102"/>
        <v>7.2306265157068797E-12</v>
      </c>
      <c r="I126" s="47">
        <f>'Intermediate calcs'!E20*VLOOKUP(IF(ISBLANK($A126),$B126,$A126),Radionuclide_specific,8,FALSE)*VLOOKUP($B$115,Other_regional_data,4,FALSE)*Other_F_local</f>
        <v>3.171875E-12</v>
      </c>
      <c r="J126" s="47">
        <f>'Intermediate calcs'!F20*VLOOKUP(IF(ISBLANK($A126),$B126,$A126),Radionuclide_specific,8,FALSE)*VLOOKUP($B$115,Other_regional_data,4,FALSE)*Other_F_local</f>
        <v>2.0299999999999999E-14</v>
      </c>
      <c r="K126" s="46">
        <f t="shared" si="100"/>
        <v>1.1340000000000002E-9</v>
      </c>
      <c r="L126" s="46">
        <f t="shared" si="100"/>
        <v>1.1340000000000001E-11</v>
      </c>
      <c r="M126" s="47">
        <f t="shared" si="100"/>
        <v>4.1446080000000009E-13</v>
      </c>
      <c r="N126" s="47">
        <f t="shared" si="100"/>
        <v>2.6532576000000005E-15</v>
      </c>
      <c r="O126" s="46">
        <f t="shared" si="103"/>
        <v>1.1375863358000004E-9</v>
      </c>
      <c r="P126" s="46">
        <f t="shared" si="104"/>
        <v>1.8593579773306881E-11</v>
      </c>
    </row>
    <row r="127" spans="1:16">
      <c r="A127" s="4"/>
      <c r="B127" s="4" t="s">
        <v>105</v>
      </c>
      <c r="C127" s="46">
        <f>'Intermediate calcs'!G21*VLOOKUP($B$115,Other_regional_data,2,FALSE)*VLOOKUP(IF(ISBLANK($A127),$B127,$A127),Radionuclide_specific,8,FALSE)*VLOOKUP($B$115,Other_regional_data,8,FALSE)*Other_F_local</f>
        <v>0</v>
      </c>
      <c r="D127" s="46">
        <f>'Intermediate calcs'!H21*VLOOKUP($B$115,Other_regional_data,2,FALSE)*VLOOKUP(IF(ISBLANK($A127),$B127,$A127),Radionuclide_specific,8,FALSE)*VLOOKUP($B$115,Other_regional_data,9,FALSE)*Other_F_local</f>
        <v>0</v>
      </c>
      <c r="E127" s="47">
        <f>'Intermediate calcs'!I21*VLOOKUP($B$115,Other_regional_data,3,FALSE)*VLOOKUP(IF(ISBLANK($A127),$B127,$A127),Radionuclide_specific,8,FALSE)*VLOOKUP($B$115,Other_regional_data,8,FALSE)*Other_F_local</f>
        <v>0</v>
      </c>
      <c r="F127" s="47">
        <f>'Intermediate calcs'!J21*VLOOKUP($B$115,Other_regional_data,3,FALSE)*VLOOKUP(IF(ISBLANK($A127),$B127,$A127),Radionuclide_specific,8,FALSE)*VLOOKUP($B$115,Other_regional_data,9,FALSE)*Other_F_local</f>
        <v>0</v>
      </c>
      <c r="G127" s="46">
        <f t="shared" si="101"/>
        <v>0</v>
      </c>
      <c r="H127" s="46">
        <f t="shared" si="102"/>
        <v>0</v>
      </c>
      <c r="I127" s="47">
        <f>'Intermediate calcs'!E21*VLOOKUP(IF(ISBLANK($A127),$B127,$A127),Radionuclide_specific,8,FALSE)*VLOOKUP($B$115,Other_regional_data,4,FALSE)*Other_F_local</f>
        <v>0</v>
      </c>
      <c r="J127" s="47">
        <f>'Intermediate calcs'!F21*VLOOKUP(IF(ISBLANK($A127),$B127,$A127),Radionuclide_specific,8,FALSE)*VLOOKUP($B$115,Other_regional_data,4,FALSE)*Other_F_local</f>
        <v>0</v>
      </c>
      <c r="K127" s="46">
        <f t="shared" si="100"/>
        <v>0</v>
      </c>
      <c r="L127" s="46">
        <f t="shared" si="100"/>
        <v>0</v>
      </c>
      <c r="M127" s="47">
        <f t="shared" si="100"/>
        <v>2.7799200000000001E-11</v>
      </c>
      <c r="N127" s="47">
        <f t="shared" si="100"/>
        <v>1.7796240000000005E-13</v>
      </c>
      <c r="O127" s="46">
        <f t="shared" si="103"/>
        <v>2.7799200000000001E-11</v>
      </c>
      <c r="P127" s="46">
        <f t="shared" si="104"/>
        <v>1.7796240000000005E-13</v>
      </c>
    </row>
    <row r="128" spans="1:16">
      <c r="A128" s="4" t="s">
        <v>66</v>
      </c>
      <c r="B128" s="4"/>
      <c r="C128" s="46">
        <f>'Intermediate calcs'!G22*VLOOKUP($B$115,Other_regional_data,2,FALSE)*VLOOKUP(IF(ISBLANK($A128),$B128,$A128),Radionuclide_specific,8,FALSE)*VLOOKUP($B$115,Other_regional_data,8,FALSE)*Other_F_local</f>
        <v>0</v>
      </c>
      <c r="D128" s="46">
        <f>'Intermediate calcs'!H22*VLOOKUP($B$115,Other_regional_data,2,FALSE)*VLOOKUP(IF(ISBLANK($A128),$B128,$A128),Radionuclide_specific,8,FALSE)*VLOOKUP($B$115,Other_regional_data,9,FALSE)*Other_F_local</f>
        <v>8.3096663378917628E-15</v>
      </c>
      <c r="E128" s="47">
        <f>'Intermediate calcs'!I22*VLOOKUP($B$115,Other_regional_data,3,FALSE)*VLOOKUP(IF(ISBLANK($A128),$B128,$A128),Radionuclide_specific,8,FALSE)*VLOOKUP($B$115,Other_regional_data,8,FALSE)*Other_F_local</f>
        <v>0</v>
      </c>
      <c r="F128" s="47">
        <f>'Intermediate calcs'!J22*VLOOKUP($B$115,Other_regional_data,3,FALSE)*VLOOKUP(IF(ISBLANK($A128),$B128,$A128),Radionuclide_specific,8,FALSE)*VLOOKUP($B$115,Other_regional_data,9,FALSE)*Other_F_local</f>
        <v>1.7289079096300098E-13</v>
      </c>
      <c r="G128" s="46">
        <f t="shared" si="101"/>
        <v>0</v>
      </c>
      <c r="H128" s="46">
        <f t="shared" si="102"/>
        <v>1.8120045730089274E-13</v>
      </c>
      <c r="I128" s="47">
        <f>'Intermediate calcs'!E22*VLOOKUP(IF(ISBLANK($A128),$B128,$A128),Radionuclide_specific,8,FALSE)*VLOOKUP($B$115,Other_regional_data,4,FALSE)*Other_F_local</f>
        <v>9.390243902439024E-12</v>
      </c>
      <c r="J128" s="47">
        <f>'Intermediate calcs'!F22*VLOOKUP(IF(ISBLANK($A128),$B128,$A128),Radionuclide_specific,8,FALSE)*VLOOKUP($B$115,Other_regional_data,4,FALSE)*Other_F_local</f>
        <v>9.0588235294117655E-15</v>
      </c>
      <c r="K128" s="46">
        <f t="shared" si="100"/>
        <v>1.8900000000000002E-10</v>
      </c>
      <c r="L128" s="46">
        <f t="shared" si="100"/>
        <v>1.8900000000000002E-12</v>
      </c>
      <c r="M128" s="47">
        <f t="shared" si="100"/>
        <v>0</v>
      </c>
      <c r="N128" s="47">
        <f t="shared" si="100"/>
        <v>0</v>
      </c>
      <c r="O128" s="46">
        <f t="shared" si="103"/>
        <v>1.9839024390243905E-10</v>
      </c>
      <c r="P128" s="46">
        <f t="shared" si="104"/>
        <v>2.0802592808303048E-12</v>
      </c>
    </row>
    <row r="129" spans="1:16">
      <c r="A129" s="4"/>
      <c r="B129" s="4" t="s">
        <v>106</v>
      </c>
      <c r="C129" s="46">
        <f>'Intermediate calcs'!G23*VLOOKUP($B$115,Other_regional_data,2,FALSE)*VLOOKUP(IF(ISBLANK($A129),$B129,$A129),Radionuclide_specific,8,FALSE)*VLOOKUP($B$115,Other_regional_data,8,FALSE)*Other_F_local</f>
        <v>0</v>
      </c>
      <c r="D129" s="46">
        <f>'Intermediate calcs'!H23*VLOOKUP($B$115,Other_regional_data,2,FALSE)*VLOOKUP(IF(ISBLANK($A129),$B129,$A129),Radionuclide_specific,8,FALSE)*VLOOKUP($B$115,Other_regional_data,9,FALSE)*Other_F_local</f>
        <v>0</v>
      </c>
      <c r="E129" s="47">
        <f>'Intermediate calcs'!I23*VLOOKUP($B$115,Other_regional_data,3,FALSE)*VLOOKUP(IF(ISBLANK($A129),$B129,$A129),Radionuclide_specific,8,FALSE)*VLOOKUP($B$115,Other_regional_data,8,FALSE)*Other_F_local</f>
        <v>0</v>
      </c>
      <c r="F129" s="47">
        <f>'Intermediate calcs'!J23*VLOOKUP($B$115,Other_regional_data,3,FALSE)*VLOOKUP(IF(ISBLANK($A129),$B129,$A129),Radionuclide_specific,8,FALSE)*VLOOKUP($B$115,Other_regional_data,9,FALSE)*Other_F_local</f>
        <v>0</v>
      </c>
      <c r="G129" s="46">
        <f t="shared" si="101"/>
        <v>0</v>
      </c>
      <c r="H129" s="46">
        <f t="shared" si="102"/>
        <v>0</v>
      </c>
      <c r="I129" s="47">
        <f>'Intermediate calcs'!E23*VLOOKUP(IF(ISBLANK($A129),$B129,$A129),Radionuclide_specific,8,FALSE)*VLOOKUP($B$115,Other_regional_data,4,FALSE)*Other_F_local</f>
        <v>0</v>
      </c>
      <c r="J129" s="47">
        <f>'Intermediate calcs'!F23*VLOOKUP(IF(ISBLANK($A129),$B129,$A129),Radionuclide_specific,8,FALSE)*VLOOKUP($B$115,Other_regional_data,4,FALSE)*Other_F_local</f>
        <v>0</v>
      </c>
      <c r="K129" s="46">
        <f t="shared" si="100"/>
        <v>0</v>
      </c>
      <c r="L129" s="46">
        <f t="shared" si="100"/>
        <v>0</v>
      </c>
      <c r="M129" s="47">
        <f t="shared" si="100"/>
        <v>1.45314E-9</v>
      </c>
      <c r="N129" s="47">
        <f t="shared" si="100"/>
        <v>1.4009760000000001E-12</v>
      </c>
      <c r="O129" s="46">
        <f t="shared" si="103"/>
        <v>1.45314E-9</v>
      </c>
      <c r="P129" s="46">
        <f t="shared" si="104"/>
        <v>1.4009760000000001E-12</v>
      </c>
    </row>
    <row r="130" spans="1:16">
      <c r="A130" s="4" t="s">
        <v>67</v>
      </c>
      <c r="B130" s="4"/>
      <c r="C130" s="46">
        <f>'Intermediate calcs'!G24*VLOOKUP($B$115,Other_regional_data,2,FALSE)*VLOOKUP(IF(ISBLANK($A130),$B130,$A130),Radionuclide_specific,8,FALSE)*VLOOKUP($B$115,Other_regional_data,8,FALSE)*Other_F_local</f>
        <v>0</v>
      </c>
      <c r="D130" s="46">
        <f>'Intermediate calcs'!H24*VLOOKUP($B$115,Other_regional_data,2,FALSE)*VLOOKUP(IF(ISBLANK($A130),$B130,$A130),Radionuclide_specific,8,FALSE)*VLOOKUP($B$115,Other_regional_data,9,FALSE)*Other_F_local</f>
        <v>8.0511272011738342E-12</v>
      </c>
      <c r="E130" s="47">
        <f>'Intermediate calcs'!I24*VLOOKUP($B$115,Other_regional_data,3,FALSE)*VLOOKUP(IF(ISBLANK($A130),$B130,$A130),Radionuclide_specific,8,FALSE)*VLOOKUP($B$115,Other_regional_data,8,FALSE)*Other_F_local</f>
        <v>0</v>
      </c>
      <c r="F130" s="47">
        <f>'Intermediate calcs'!J24*VLOOKUP($B$115,Other_regional_data,3,FALSE)*VLOOKUP(IF(ISBLANK($A130),$B130,$A130),Radionuclide_specific,8,FALSE)*VLOOKUP($B$115,Other_regional_data,9,FALSE)*Other_F_local</f>
        <v>6.0345535691893599E-12</v>
      </c>
      <c r="G130" s="46">
        <f t="shared" si="101"/>
        <v>0</v>
      </c>
      <c r="H130" s="46">
        <f t="shared" si="102"/>
        <v>1.4085680770363194E-11</v>
      </c>
      <c r="I130" s="47">
        <f>'Intermediate calcs'!E24*VLOOKUP(IF(ISBLANK($A130),$B130,$A130),Radionuclide_specific,8,FALSE)*VLOOKUP($B$115,Other_regional_data,4,FALSE)*Other_F_local</f>
        <v>1.2132352941176471E-10</v>
      </c>
      <c r="J130" s="47">
        <f>'Intermediate calcs'!F24*VLOOKUP(IF(ISBLANK($A130),$B130,$A130),Radionuclide_specific,8,FALSE)*VLOOKUP($B$115,Other_regional_data,4,FALSE)*Other_F_local</f>
        <v>4.1249999999999996E-13</v>
      </c>
      <c r="K130" s="46">
        <f t="shared" si="100"/>
        <v>4.4550000000000008E-9</v>
      </c>
      <c r="L130" s="46">
        <f t="shared" si="100"/>
        <v>4.4550000000000004E-11</v>
      </c>
      <c r="M130" s="47">
        <f t="shared" si="100"/>
        <v>1.7016480000000003E-11</v>
      </c>
      <c r="N130" s="47">
        <f t="shared" si="100"/>
        <v>5.7704399999999999E-14</v>
      </c>
      <c r="O130" s="46">
        <f t="shared" si="103"/>
        <v>4.5933400094117654E-9</v>
      </c>
      <c r="P130" s="46">
        <f t="shared" si="104"/>
        <v>5.9105885170363197E-11</v>
      </c>
    </row>
    <row r="131" spans="1:16">
      <c r="A131" s="4" t="s">
        <v>239</v>
      </c>
      <c r="B131" s="4"/>
      <c r="C131" s="46">
        <f>'Intermediate calcs'!G25*VLOOKUP($B$115,Other_regional_data,2,FALSE)*VLOOKUP(IF(ISBLANK($A131),$B131,$A131),Radionuclide_specific,8,FALSE)*VLOOKUP($B$115,Other_regional_data,8,FALSE)*Other_F_local</f>
        <v>0</v>
      </c>
      <c r="D131" s="46">
        <f>'Intermediate calcs'!H25*VLOOKUP($B$115,Other_regional_data,2,FALSE)*VLOOKUP(IF(ISBLANK($A131),$B131,$A131),Radionuclide_specific,8,FALSE)*VLOOKUP($B$115,Other_regional_data,9,FALSE)*Other_F_local</f>
        <v>1.0244461567602464E-14</v>
      </c>
      <c r="E131" s="47">
        <f>'Intermediate calcs'!I25*VLOOKUP($B$115,Other_regional_data,3,FALSE)*VLOOKUP(IF(ISBLANK($A131),$B131,$A131),Radionuclide_specific,8,FALSE)*VLOOKUP($B$115,Other_regional_data,8,FALSE)*Other_F_local</f>
        <v>0</v>
      </c>
      <c r="F131" s="47">
        <f>'Intermediate calcs'!J25*VLOOKUP($B$115,Other_regional_data,3,FALSE)*VLOOKUP(IF(ISBLANK($A131),$B131,$A131),Radionuclide_specific,8,FALSE)*VLOOKUP($B$115,Other_regional_data,9,FALSE)*Other_F_local</f>
        <v>1.9568957658449557E-14</v>
      </c>
      <c r="G131" s="46">
        <f t="shared" ref="G131" si="117">C131+E131</f>
        <v>0</v>
      </c>
      <c r="H131" s="46">
        <f t="shared" ref="H131" si="118">D131+F131</f>
        <v>2.9813419226052022E-14</v>
      </c>
      <c r="I131" s="47">
        <f>'Intermediate calcs'!E25*VLOOKUP(IF(ISBLANK($A131),$B131,$A131),Radionuclide_specific,8,FALSE)*VLOOKUP($B$115,Other_regional_data,4,FALSE)*Other_F_local</f>
        <v>2.2058823529411772E-12</v>
      </c>
      <c r="J131" s="47">
        <f>'Intermediate calcs'!F25*VLOOKUP(IF(ISBLANK($A131),$B131,$A131),Radionuclide_specific,8,FALSE)*VLOOKUP($B$115,Other_regional_data,4,FALSE)*Other_F_local</f>
        <v>7.4999999999999996E-15</v>
      </c>
      <c r="K131" s="46">
        <f t="shared" si="100"/>
        <v>8.1000000000000018E-11</v>
      </c>
      <c r="L131" s="46">
        <f t="shared" si="100"/>
        <v>8.1000000000000018E-13</v>
      </c>
      <c r="M131" s="47">
        <f t="shared" si="100"/>
        <v>3.1292352000000006E-10</v>
      </c>
      <c r="N131" s="47">
        <f t="shared" si="100"/>
        <v>1.0771488E-12</v>
      </c>
      <c r="O131" s="46">
        <f t="shared" ref="O131" si="119">G131+I131+K131+M131</f>
        <v>3.9612940235294128E-10</v>
      </c>
      <c r="P131" s="46">
        <f t="shared" ref="P131" si="120">H131+J131+L131+N131</f>
        <v>1.9244622192260521E-12</v>
      </c>
    </row>
    <row r="132" spans="1:16">
      <c r="A132" s="4" t="s">
        <v>177</v>
      </c>
      <c r="B132" s="4"/>
      <c r="C132" s="46">
        <f>'Intermediate calcs'!G26*VLOOKUP($B$115,Other_regional_data,2,FALSE)*VLOOKUP(IF(ISBLANK($A132),$B132,$A132),Radionuclide_specific,8,FALSE)*VLOOKUP($B$115,Other_regional_data,8,FALSE)*Other_F_local</f>
        <v>0</v>
      </c>
      <c r="D132" s="46">
        <f>'Intermediate calcs'!H26*VLOOKUP($B$115,Other_regional_data,2,FALSE)*VLOOKUP(IF(ISBLANK($A132),$B132,$A132),Radionuclide_specific,8,FALSE)*VLOOKUP($B$115,Other_regional_data,9,FALSE)*Other_F_local</f>
        <v>1.1323528668739741E-12</v>
      </c>
      <c r="E132" s="47">
        <f>'Intermediate calcs'!I26*VLOOKUP($B$115,Other_regional_data,3,FALSE)*VLOOKUP(IF(ISBLANK($A132),$B132,$A132),Radionuclide_specific,8,FALSE)*VLOOKUP($B$115,Other_regional_data,8,FALSE)*Other_F_local</f>
        <v>0</v>
      </c>
      <c r="F132" s="47">
        <f>'Intermediate calcs'!J26*VLOOKUP($B$115,Other_regional_data,3,FALSE)*VLOOKUP(IF(ISBLANK($A132),$B132,$A132),Radionuclide_specific,8,FALSE)*VLOOKUP($B$115,Other_regional_data,9,FALSE)*Other_F_local</f>
        <v>6.1817957263281806E-13</v>
      </c>
      <c r="G132" s="46">
        <f t="shared" ref="G132" si="121">C132+E132</f>
        <v>0</v>
      </c>
      <c r="H132" s="46">
        <f t="shared" ref="H132" si="122">D132+F132</f>
        <v>1.7505324395067923E-12</v>
      </c>
      <c r="I132" s="47">
        <f>'Intermediate calcs'!E26*VLOOKUP(IF(ISBLANK($A132),$B132,$A132),Radionuclide_specific,8,FALSE)*VLOOKUP($B$115,Other_regional_data,4,FALSE)*Other_F_local</f>
        <v>1.2025316455696205E-9</v>
      </c>
      <c r="J132" s="47">
        <f>'Intermediate calcs'!F26*VLOOKUP(IF(ISBLANK($A132),$B132,$A132),Radionuclide_specific,8,FALSE)*VLOOKUP($B$115,Other_regional_data,4,FALSE)*Other_F_local</f>
        <v>1.2258064516129034E-12</v>
      </c>
      <c r="K132" s="46">
        <f t="shared" si="100"/>
        <v>7.6950000000000008E-10</v>
      </c>
      <c r="L132" s="46">
        <f t="shared" si="100"/>
        <v>7.6950000000000006E-12</v>
      </c>
      <c r="M132" s="47">
        <f t="shared" si="100"/>
        <v>5.8501440000000015E-9</v>
      </c>
      <c r="N132" s="47">
        <f t="shared" si="100"/>
        <v>5.9780160000000001E-12</v>
      </c>
      <c r="O132" s="46">
        <f t="shared" ref="O132" si="123">G132+I132+K132+M132</f>
        <v>7.8221756455696217E-9</v>
      </c>
      <c r="P132" s="46">
        <f t="shared" ref="P132" si="124">H132+J132+L132+N132</f>
        <v>1.6649354891119697E-11</v>
      </c>
    </row>
    <row r="133" spans="1:16">
      <c r="A133" s="4" t="s">
        <v>12</v>
      </c>
      <c r="B133" s="4"/>
      <c r="C133" s="46">
        <f>'Intermediate calcs'!G27*VLOOKUP($B$115,Other_regional_data,2,FALSE)*VLOOKUP(IF(ISBLANK($A133),$B133,$A133),Radionuclide_specific,8,FALSE)*VLOOKUP($B$115,Other_regional_data,8,FALSE)*Other_F_local</f>
        <v>0</v>
      </c>
      <c r="D133" s="46">
        <f>'Intermediate calcs'!H27*VLOOKUP($B$115,Other_regional_data,2,FALSE)*VLOOKUP(IF(ISBLANK($A133),$B133,$A133),Radionuclide_specific,8,FALSE)*VLOOKUP($B$115,Other_regional_data,9,FALSE)*Other_F_local</f>
        <v>9.2940571354421892E-13</v>
      </c>
      <c r="E133" s="47">
        <f>'Intermediate calcs'!I27*VLOOKUP($B$115,Other_regional_data,3,FALSE)*VLOOKUP(IF(ISBLANK($A133),$B133,$A133),Radionuclide_specific,8,FALSE)*VLOOKUP($B$115,Other_regional_data,8,FALSE)*Other_F_local</f>
        <v>0</v>
      </c>
      <c r="F133" s="47">
        <f>'Intermediate calcs'!J27*VLOOKUP($B$115,Other_regional_data,3,FALSE)*VLOOKUP(IF(ISBLANK($A133),$B133,$A133),Radionuclide_specific,8,FALSE)*VLOOKUP($B$115,Other_regional_data,9,FALSE)*Other_F_local</f>
        <v>6.7612648608745012E-13</v>
      </c>
      <c r="G133" s="46">
        <f t="shared" si="101"/>
        <v>0</v>
      </c>
      <c r="H133" s="46">
        <f t="shared" si="102"/>
        <v>1.6055321996316691E-12</v>
      </c>
      <c r="I133" s="47">
        <f>'Intermediate calcs'!E27*VLOOKUP(IF(ISBLANK($A133),$B133,$A133),Radionuclide_specific,8,FALSE)*VLOOKUP($B$115,Other_regional_data,4,FALSE)*Other_F_local</f>
        <v>8.2278481012658236E-10</v>
      </c>
      <c r="J133" s="47">
        <f>'Intermediate calcs'!F27*VLOOKUP(IF(ISBLANK($A133),$B133,$A133),Radionuclide_specific,8,FALSE)*VLOOKUP($B$115,Other_regional_data,4,FALSE)*Other_F_local</f>
        <v>8.3870967741935494E-13</v>
      </c>
      <c r="K133" s="46">
        <f t="shared" si="100"/>
        <v>5.2650000000000009E-10</v>
      </c>
      <c r="L133" s="46">
        <f t="shared" si="100"/>
        <v>5.2650000000000007E-12</v>
      </c>
      <c r="M133" s="47">
        <f t="shared" si="100"/>
        <v>1.1818871999999999E-11</v>
      </c>
      <c r="N133" s="47">
        <f t="shared" si="100"/>
        <v>1.2077207999999998E-14</v>
      </c>
      <c r="O133" s="46">
        <f t="shared" si="103"/>
        <v>1.3611036821265825E-9</v>
      </c>
      <c r="P133" s="46">
        <f t="shared" si="104"/>
        <v>7.7213190850510247E-12</v>
      </c>
    </row>
    <row r="134" spans="1:16">
      <c r="A134" s="4"/>
      <c r="B134" s="4" t="s">
        <v>107</v>
      </c>
      <c r="C134" s="46">
        <f>'Intermediate calcs'!G28*VLOOKUP($B$115,Other_regional_data,2,FALSE)*VLOOKUP(IF(ISBLANK($A134),$B134,$A134),Radionuclide_specific,8,FALSE)*VLOOKUP($B$115,Other_regional_data,8,FALSE)*Other_F_local</f>
        <v>0</v>
      </c>
      <c r="D134" s="46">
        <f>'Intermediate calcs'!H28*VLOOKUP($B$115,Other_regional_data,2,FALSE)*VLOOKUP(IF(ISBLANK($A134),$B134,$A134),Radionuclide_specific,8,FALSE)*VLOOKUP($B$115,Other_regional_data,9,FALSE)*Other_F_local</f>
        <v>0</v>
      </c>
      <c r="E134" s="47">
        <f>'Intermediate calcs'!I28*VLOOKUP($B$115,Other_regional_data,3,FALSE)*VLOOKUP(IF(ISBLANK($A134),$B134,$A134),Radionuclide_specific,8,FALSE)*VLOOKUP($B$115,Other_regional_data,8,FALSE)*Other_F_local</f>
        <v>0</v>
      </c>
      <c r="F134" s="47">
        <f>'Intermediate calcs'!J28*VLOOKUP($B$115,Other_regional_data,3,FALSE)*VLOOKUP(IF(ISBLANK($A134),$B134,$A134),Radionuclide_specific,8,FALSE)*VLOOKUP($B$115,Other_regional_data,9,FALSE)*Other_F_local</f>
        <v>0</v>
      </c>
      <c r="G134" s="46">
        <f t="shared" si="101"/>
        <v>0</v>
      </c>
      <c r="H134" s="46">
        <f t="shared" si="102"/>
        <v>0</v>
      </c>
      <c r="I134" s="47">
        <f>'Intermediate calcs'!E28*VLOOKUP(IF(ISBLANK($A134),$B134,$A134),Radionuclide_specific,8,FALSE)*VLOOKUP($B$115,Other_regional_data,4,FALSE)*Other_F_local</f>
        <v>0</v>
      </c>
      <c r="J134" s="47">
        <f>'Intermediate calcs'!F28*VLOOKUP(IF(ISBLANK($A134),$B134,$A134),Radionuclide_specific,8,FALSE)*VLOOKUP($B$115,Other_regional_data,4,FALSE)*Other_F_local</f>
        <v>0</v>
      </c>
      <c r="K134" s="46">
        <f t="shared" si="100"/>
        <v>0</v>
      </c>
      <c r="L134" s="46">
        <f t="shared" si="100"/>
        <v>0</v>
      </c>
      <c r="M134" s="47">
        <f t="shared" si="100"/>
        <v>2.1650829552E-9</v>
      </c>
      <c r="N134" s="47">
        <f t="shared" si="100"/>
        <v>2.2124071728000003E-12</v>
      </c>
      <c r="O134" s="46">
        <f t="shared" si="103"/>
        <v>2.1650829552E-9</v>
      </c>
      <c r="P134" s="46">
        <f t="shared" si="104"/>
        <v>2.2124071728000003E-12</v>
      </c>
    </row>
    <row r="135" spans="1:16">
      <c r="A135" s="4" t="s">
        <v>22</v>
      </c>
      <c r="B135" s="4"/>
      <c r="C135" s="46">
        <f>'Intermediate calcs'!G29*VLOOKUP($B$115,Other_regional_data,2,FALSE)*VLOOKUP(IF(ISBLANK($A135),$B135,$A135),Radionuclide_specific,8,FALSE)*VLOOKUP($B$115,Other_regional_data,8,FALSE)*Other_F_local</f>
        <v>0</v>
      </c>
      <c r="D135" s="46">
        <f>'Intermediate calcs'!H29*VLOOKUP($B$115,Other_regional_data,2,FALSE)*VLOOKUP(IF(ISBLANK($A135),$B135,$A135),Radionuclide_specific,8,FALSE)*VLOOKUP($B$115,Other_regional_data,9,FALSE)*Other_F_local</f>
        <v>3.4422119146402644E-12</v>
      </c>
      <c r="E135" s="47">
        <f>'Intermediate calcs'!I29*VLOOKUP($B$115,Other_regional_data,3,FALSE)*VLOOKUP(IF(ISBLANK($A135),$B135,$A135),Radionuclide_specific,8,FALSE)*VLOOKUP($B$115,Other_regional_data,8,FALSE)*Other_F_local</f>
        <v>0</v>
      </c>
      <c r="F135" s="47">
        <f>'Intermediate calcs'!J29*VLOOKUP($B$115,Other_regional_data,3,FALSE)*VLOOKUP(IF(ISBLANK($A135),$B135,$A135),Radionuclide_specific,8,FALSE)*VLOOKUP($B$115,Other_regional_data,9,FALSE)*Other_F_local</f>
        <v>2.2941278031628971E-11</v>
      </c>
      <c r="G135" s="46">
        <f t="shared" si="101"/>
        <v>0</v>
      </c>
      <c r="H135" s="46">
        <f t="shared" si="102"/>
        <v>2.6383489946269235E-11</v>
      </c>
      <c r="I135" s="47">
        <f>'Intermediate calcs'!E29*VLOOKUP(IF(ISBLANK($A135),$B135,$A135),Radionuclide_specific,8,FALSE)*VLOOKUP($B$115,Other_regional_data,4,FALSE)*Other_F_local</f>
        <v>5.7499999999999998E-10</v>
      </c>
      <c r="J135" s="47">
        <f>'Intermediate calcs'!F29*VLOOKUP(IF(ISBLANK($A135),$B135,$A135),Radionuclide_specific,8,FALSE)*VLOOKUP($B$115,Other_regional_data,4,FALSE)*Other_F_local</f>
        <v>1.1499999999999999E-12</v>
      </c>
      <c r="K135" s="46">
        <f t="shared" si="100"/>
        <v>1.8629999999999999E-8</v>
      </c>
      <c r="L135" s="46">
        <f t="shared" si="100"/>
        <v>1.8630000000000002E-10</v>
      </c>
      <c r="M135" s="47">
        <f t="shared" si="100"/>
        <v>3.8278655999999994E-12</v>
      </c>
      <c r="N135" s="47">
        <f t="shared" si="100"/>
        <v>7.6373279999999994E-15</v>
      </c>
      <c r="O135" s="46">
        <f t="shared" si="103"/>
        <v>1.92088278656E-8</v>
      </c>
      <c r="P135" s="46">
        <f t="shared" si="104"/>
        <v>2.1384112727426925E-10</v>
      </c>
    </row>
    <row r="136" spans="1:16">
      <c r="A136" s="4" t="s">
        <v>19</v>
      </c>
      <c r="B136" s="4"/>
      <c r="C136" s="46">
        <f>'Intermediate calcs'!G30*VLOOKUP($B$115,Other_regional_data,2,FALSE)*VLOOKUP(IF(ISBLANK($A136),$B136,$A136),Radionuclide_specific,8,FALSE)*VLOOKUP($B$115,Other_regional_data,8,FALSE)*Other_F_local</f>
        <v>0</v>
      </c>
      <c r="D136" s="46">
        <f>'Intermediate calcs'!H30*VLOOKUP($B$115,Other_regional_data,2,FALSE)*VLOOKUP(IF(ISBLANK($A136),$B136,$A136),Radionuclide_specific,8,FALSE)*VLOOKUP($B$115,Other_regional_data,9,FALSE)*Other_F_local</f>
        <v>7.1953990726004057E-13</v>
      </c>
      <c r="E136" s="47">
        <f>'Intermediate calcs'!I30*VLOOKUP($B$115,Other_regional_data,3,FALSE)*VLOOKUP(IF(ISBLANK($A136),$B136,$A136),Radionuclide_specific,8,FALSE)*VLOOKUP($B$115,Other_regional_data,8,FALSE)*Other_F_local</f>
        <v>0</v>
      </c>
      <c r="F136" s="47">
        <f>'Intermediate calcs'!J30*VLOOKUP($B$115,Other_regional_data,3,FALSE)*VLOOKUP(IF(ISBLANK($A136),$B136,$A136),Radionuclide_specific,8,FALSE)*VLOOKUP($B$115,Other_regional_data,9,FALSE)*Other_F_local</f>
        <v>2.7102056407551739E-11</v>
      </c>
      <c r="G136" s="46">
        <f t="shared" si="101"/>
        <v>0</v>
      </c>
      <c r="H136" s="46">
        <f t="shared" si="102"/>
        <v>2.7821596314811778E-11</v>
      </c>
      <c r="I136" s="47">
        <f>'Intermediate calcs'!E30*VLOOKUP(IF(ISBLANK($A136),$B136,$A136),Radionuclide_specific,8,FALSE)*VLOOKUP($B$115,Other_regional_data,4,FALSE)*Other_F_local</f>
        <v>9.5999999999999999E-10</v>
      </c>
      <c r="J136" s="47">
        <f>'Intermediate calcs'!F30*VLOOKUP(IF(ISBLANK($A136),$B136,$A136),Radionuclide_specific,8,FALSE)*VLOOKUP($B$115,Other_regional_data,4,FALSE)*Other_F_local</f>
        <v>8.228571428571429E-13</v>
      </c>
      <c r="K136" s="46">
        <f t="shared" si="100"/>
        <v>3.2399999999999999E-8</v>
      </c>
      <c r="L136" s="46">
        <f t="shared" si="100"/>
        <v>3.2400000000000002E-10</v>
      </c>
      <c r="M136" s="47">
        <f t="shared" si="100"/>
        <v>3.8793168000000015E-14</v>
      </c>
      <c r="N136" s="47">
        <f t="shared" si="100"/>
        <v>3.3201359999999998E-17</v>
      </c>
      <c r="O136" s="46">
        <f t="shared" si="103"/>
        <v>3.3360038793167999E-8</v>
      </c>
      <c r="P136" s="46">
        <f t="shared" si="104"/>
        <v>3.5264448665902896E-10</v>
      </c>
    </row>
    <row r="137" spans="1:16">
      <c r="A137" s="4" t="s">
        <v>14</v>
      </c>
      <c r="B137" s="4"/>
      <c r="C137" s="46">
        <f>'Intermediate calcs'!G31*VLOOKUP($B$115,Other_regional_data,2,FALSE)*VLOOKUP(IF(ISBLANK($A137),$B137,$A137),Radionuclide_specific,8,FALSE)*VLOOKUP($B$115,Other_regional_data,8,FALSE)*Other_F_local</f>
        <v>0</v>
      </c>
      <c r="D137" s="46">
        <f>'Intermediate calcs'!H31*VLOOKUP($B$115,Other_regional_data,2,FALSE)*VLOOKUP(IF(ISBLANK($A137),$B137,$A137),Radionuclide_specific,8,FALSE)*VLOOKUP($B$115,Other_regional_data,9,FALSE)*Other_F_local</f>
        <v>8.9384140976095474E-12</v>
      </c>
      <c r="E137" s="47">
        <f>'Intermediate calcs'!I31*VLOOKUP($B$115,Other_regional_data,3,FALSE)*VLOOKUP(IF(ISBLANK($A137),$B137,$A137),Radionuclide_specific,8,FALSE)*VLOOKUP($B$115,Other_regional_data,8,FALSE)*Other_F_local</f>
        <v>0</v>
      </c>
      <c r="F137" s="47">
        <f>'Intermediate calcs'!J31*VLOOKUP($B$115,Other_regional_data,3,FALSE)*VLOOKUP(IF(ISBLANK($A137),$B137,$A137),Radionuclide_specific,8,FALSE)*VLOOKUP($B$115,Other_regional_data,9,FALSE)*Other_F_local</f>
        <v>2.0214923251058572E-11</v>
      </c>
      <c r="G137" s="46">
        <f t="shared" si="101"/>
        <v>0</v>
      </c>
      <c r="H137" s="46">
        <f t="shared" si="102"/>
        <v>2.9153337348668123E-11</v>
      </c>
      <c r="I137" s="47">
        <f>'Intermediate calcs'!E31*VLOOKUP(IF(ISBLANK($A137),$B137,$A137),Radionuclide_specific,8,FALSE)*VLOOKUP($B$115,Other_regional_data,4,FALSE)*Other_F_local</f>
        <v>3.9024390243902436E-11</v>
      </c>
      <c r="J137" s="47">
        <f>'Intermediate calcs'!F31*VLOOKUP(IF(ISBLANK($A137),$B137,$A137),Radionuclide_specific,8,FALSE)*VLOOKUP($B$115,Other_regional_data,4,FALSE)*Other_F_local</f>
        <v>9.5319148936170222E-14</v>
      </c>
      <c r="K137" s="46">
        <f t="shared" si="100"/>
        <v>7.5600000000000012E-9</v>
      </c>
      <c r="L137" s="46">
        <f t="shared" si="100"/>
        <v>7.5600000000000016E-11</v>
      </c>
      <c r="M137" s="47">
        <f t="shared" si="100"/>
        <v>8.4992544000000023E-12</v>
      </c>
      <c r="N137" s="47">
        <f t="shared" si="100"/>
        <v>2.0720232000000001E-14</v>
      </c>
      <c r="O137" s="46">
        <f t="shared" si="103"/>
        <v>7.6075236446439035E-9</v>
      </c>
      <c r="P137" s="46">
        <f t="shared" si="104"/>
        <v>1.048693767296043E-10</v>
      </c>
    </row>
    <row r="138" spans="1:16">
      <c r="A138" s="4" t="s">
        <v>156</v>
      </c>
      <c r="B138" s="4"/>
      <c r="C138" s="46">
        <f>'Intermediate calcs'!G32*VLOOKUP($B$115,Other_regional_data,2,FALSE)*VLOOKUP(IF(ISBLANK($A138),$B138,$A138),Radionuclide_specific,8,FALSE)*VLOOKUP($B$115,Other_regional_data,8,FALSE)*Other_F_local</f>
        <v>0</v>
      </c>
      <c r="D138" s="46">
        <f>'Intermediate calcs'!H32*VLOOKUP($B$115,Other_regional_data,2,FALSE)*VLOOKUP(IF(ISBLANK($A138),$B138,$A138),Radionuclide_specific,8,FALSE)*VLOOKUP($B$115,Other_regional_data,9,FALSE)*Other_F_local</f>
        <v>2.0213390815791925E-13</v>
      </c>
      <c r="E138" s="47">
        <f>'Intermediate calcs'!I32*VLOOKUP($B$115,Other_regional_data,3,FALSE)*VLOOKUP(IF(ISBLANK($A138),$B138,$A138),Radionuclide_specific,8,FALSE)*VLOOKUP($B$115,Other_regional_data,8,FALSE)*Other_F_local</f>
        <v>0</v>
      </c>
      <c r="F138" s="47">
        <f>'Intermediate calcs'!J32*VLOOKUP($B$115,Other_regional_data,3,FALSE)*VLOOKUP(IF(ISBLANK($A138),$B138,$A138),Radionuclide_specific,8,FALSE)*VLOOKUP($B$115,Other_regional_data,9,FALSE)*Other_F_local</f>
        <v>5.3363407595310863E-12</v>
      </c>
      <c r="G138" s="46">
        <f t="shared" ref="G138" si="125">C138+E138</f>
        <v>0</v>
      </c>
      <c r="H138" s="46">
        <f t="shared" ref="H138" si="126">D138+F138</f>
        <v>5.5384746676890056E-12</v>
      </c>
      <c r="I138" s="47">
        <f>'Intermediate calcs'!E32*VLOOKUP(IF(ISBLANK($A138),$B138,$A138),Radionuclide_specific,8,FALSE)*VLOOKUP($B$115,Other_regional_data,4,FALSE)*Other_F_local</f>
        <v>1.0500000000000001E-11</v>
      </c>
      <c r="J138" s="47">
        <f>'Intermediate calcs'!F32*VLOOKUP(IF(ISBLANK($A138),$B138,$A138),Radionuclide_specific,8,FALSE)*VLOOKUP($B$115,Other_regional_data,4,FALSE)*Other_F_local</f>
        <v>5.2499999999999997E-15</v>
      </c>
      <c r="K138" s="46">
        <f t="shared" ref="K138:N150" si="127">K101</f>
        <v>3.1500000000000005E-9</v>
      </c>
      <c r="L138" s="46">
        <f t="shared" si="127"/>
        <v>3.1500000000000001E-11</v>
      </c>
      <c r="M138" s="47">
        <f t="shared" si="127"/>
        <v>5.4348840000000003E-12</v>
      </c>
      <c r="N138" s="47">
        <f t="shared" si="127"/>
        <v>2.7243215999999998E-15</v>
      </c>
      <c r="O138" s="46">
        <f t="shared" ref="O138" si="128">G138+I138+K138+M138</f>
        <v>3.1659348840000005E-9</v>
      </c>
      <c r="P138" s="46">
        <f t="shared" ref="P138" si="129">H138+J138+L138+N138</f>
        <v>3.7046448989289002E-11</v>
      </c>
    </row>
    <row r="139" spans="1:16">
      <c r="A139" s="4" t="s">
        <v>20</v>
      </c>
      <c r="B139" s="4"/>
      <c r="C139" s="46">
        <f>'Intermediate calcs'!G33*VLOOKUP($B$115,Other_regional_data,2,FALSE)*VLOOKUP(IF(ISBLANK($A139),$B139,$A139),Radionuclide_specific,8,FALSE)*VLOOKUP($B$115,Other_regional_data,8,FALSE)*Other_F_local</f>
        <v>0</v>
      </c>
      <c r="D139" s="46">
        <f>'Intermediate calcs'!H33*VLOOKUP($B$115,Other_regional_data,2,FALSE)*VLOOKUP(IF(ISBLANK($A139),$B139,$A139),Radionuclide_specific,8,FALSE)*VLOOKUP($B$115,Other_regional_data,9,FALSE)*Other_F_local</f>
        <v>2.2138475655391156E-13</v>
      </c>
      <c r="E139" s="47">
        <f>'Intermediate calcs'!I33*VLOOKUP($B$115,Other_regional_data,3,FALSE)*VLOOKUP(IF(ISBLANK($A139),$B139,$A139),Radionuclide_specific,8,FALSE)*VLOOKUP($B$115,Other_regional_data,8,FALSE)*Other_F_local</f>
        <v>0</v>
      </c>
      <c r="F139" s="47">
        <f>'Intermediate calcs'!J33*VLOOKUP($B$115,Other_regional_data,3,FALSE)*VLOOKUP(IF(ISBLANK($A139),$B139,$A139),Radionuclide_specific,8,FALSE)*VLOOKUP($B$115,Other_regional_data,9,FALSE)*Other_F_local</f>
        <v>5.8445636890102371E-12</v>
      </c>
      <c r="G139" s="46">
        <f t="shared" si="101"/>
        <v>0</v>
      </c>
      <c r="H139" s="46">
        <f t="shared" si="102"/>
        <v>6.065948445564149E-12</v>
      </c>
      <c r="I139" s="47">
        <f>'Intermediate calcs'!E33*VLOOKUP(IF(ISBLANK($A139),$B139,$A139),Radionuclide_specific,8,FALSE)*VLOOKUP($B$115,Other_regional_data,4,FALSE)*Other_F_local</f>
        <v>1.1500000000000001E-11</v>
      </c>
      <c r="J139" s="47">
        <f>'Intermediate calcs'!F33*VLOOKUP(IF(ISBLANK($A139),$B139,$A139),Radionuclide_specific,8,FALSE)*VLOOKUP($B$115,Other_regional_data,4,FALSE)*Other_F_local</f>
        <v>5.75E-15</v>
      </c>
      <c r="K139" s="46">
        <f t="shared" si="127"/>
        <v>3.4499999999999999E-9</v>
      </c>
      <c r="L139" s="46">
        <f t="shared" si="127"/>
        <v>3.4499999999999997E-11</v>
      </c>
      <c r="M139" s="47">
        <f t="shared" si="127"/>
        <v>3.8820599999999997E-12</v>
      </c>
      <c r="N139" s="47">
        <f t="shared" si="127"/>
        <v>1.9459439999999999E-15</v>
      </c>
      <c r="O139" s="46">
        <f t="shared" si="103"/>
        <v>3.4653820599999995E-9</v>
      </c>
      <c r="P139" s="46">
        <f t="shared" si="104"/>
        <v>4.0573644389564146E-11</v>
      </c>
    </row>
    <row r="140" spans="1:16">
      <c r="A140" s="4"/>
      <c r="B140" s="4" t="s">
        <v>29</v>
      </c>
      <c r="C140" s="46">
        <f>'Intermediate calcs'!G34*VLOOKUP($B$115,Other_regional_data,2,FALSE)*VLOOKUP(IF(ISBLANK($A140),$B140,$A140),Radionuclide_specific,8,FALSE)*VLOOKUP($B$115,Other_regional_data,8,FALSE)*Other_F_local</f>
        <v>0</v>
      </c>
      <c r="D140" s="46">
        <f>'Intermediate calcs'!H34*VLOOKUP($B$115,Other_regional_data,2,FALSE)*VLOOKUP(IF(ISBLANK($A140),$B140,$A140),Radionuclide_specific,8,FALSE)*VLOOKUP($B$115,Other_regional_data,9,FALSE)*Other_F_local</f>
        <v>7.3366852487223161E-12</v>
      </c>
      <c r="E140" s="47">
        <f>'Intermediate calcs'!I34*VLOOKUP($B$115,Other_regional_data,3,FALSE)*VLOOKUP(IF(ISBLANK($A140),$B140,$A140),Radionuclide_specific,8,FALSE)*VLOOKUP($B$115,Other_regional_data,8,FALSE)*Other_F_local</f>
        <v>0</v>
      </c>
      <c r="F140" s="47">
        <f>'Intermediate calcs'!J34*VLOOKUP($B$115,Other_regional_data,3,FALSE)*VLOOKUP(IF(ISBLANK($A140),$B140,$A140),Radionuclide_specific,8,FALSE)*VLOOKUP($B$115,Other_regional_data,9,FALSE)*Other_F_local</f>
        <v>2.146648158673854E-11</v>
      </c>
      <c r="G140" s="46">
        <f t="shared" si="101"/>
        <v>0</v>
      </c>
      <c r="H140" s="46">
        <f t="shared" si="102"/>
        <v>2.8803166835460857E-11</v>
      </c>
      <c r="I140" s="47">
        <f>'Intermediate calcs'!E34*VLOOKUP(IF(ISBLANK($A140),$B140,$A140),Radionuclide_specific,8,FALSE)*VLOOKUP($B$115,Other_regional_data,4,FALSE)*Other_F_local</f>
        <v>2.2999999999999998E-11</v>
      </c>
      <c r="J140" s="47">
        <f>'Intermediate calcs'!F34*VLOOKUP(IF(ISBLANK($A140),$B140,$A140),Radionuclide_specific,8,FALSE)*VLOOKUP($B$115,Other_regional_data,4,FALSE)*Other_F_local</f>
        <v>1.15E-14</v>
      </c>
      <c r="K140" s="46">
        <f t="shared" si="127"/>
        <v>1.8629999999999999E-8</v>
      </c>
      <c r="L140" s="46">
        <f t="shared" si="127"/>
        <v>1.8630000000000002E-10</v>
      </c>
      <c r="M140" s="47">
        <f t="shared" si="127"/>
        <v>0</v>
      </c>
      <c r="N140" s="47">
        <f t="shared" si="127"/>
        <v>0</v>
      </c>
      <c r="O140" s="46">
        <f t="shared" si="103"/>
        <v>1.8652999999999998E-8</v>
      </c>
      <c r="P140" s="46">
        <f t="shared" si="104"/>
        <v>2.1511466683546088E-10</v>
      </c>
    </row>
    <row r="141" spans="1:16">
      <c r="A141" s="4"/>
      <c r="B141" s="4" t="s">
        <v>108</v>
      </c>
      <c r="C141" s="46">
        <f>'Intermediate calcs'!G35*VLOOKUP($B$115,Other_regional_data,2,FALSE)*VLOOKUP(IF(ISBLANK($A141),$B141,$A141),Radionuclide_specific,8,FALSE)*VLOOKUP($B$115,Other_regional_data,8,FALSE)*Other_F_local</f>
        <v>0</v>
      </c>
      <c r="D141" s="46">
        <f>'Intermediate calcs'!H35*VLOOKUP($B$115,Other_regional_data,2,FALSE)*VLOOKUP(IF(ISBLANK($A141),$B141,$A141),Radionuclide_specific,8,FALSE)*VLOOKUP($B$115,Other_regional_data,9,FALSE)*Other_F_local</f>
        <v>0</v>
      </c>
      <c r="E141" s="47">
        <f>'Intermediate calcs'!I35*VLOOKUP($B$115,Other_regional_data,3,FALSE)*VLOOKUP(IF(ISBLANK($A141),$B141,$A141),Radionuclide_specific,8,FALSE)*VLOOKUP($B$115,Other_regional_data,8,FALSE)*Other_F_local</f>
        <v>0</v>
      </c>
      <c r="F141" s="47">
        <f>'Intermediate calcs'!J35*VLOOKUP($B$115,Other_regional_data,3,FALSE)*VLOOKUP(IF(ISBLANK($A141),$B141,$A141),Radionuclide_specific,8,FALSE)*VLOOKUP($B$115,Other_regional_data,9,FALSE)*Other_F_local</f>
        <v>0</v>
      </c>
      <c r="G141" s="46">
        <f t="shared" si="101"/>
        <v>0</v>
      </c>
      <c r="H141" s="46">
        <f t="shared" si="102"/>
        <v>0</v>
      </c>
      <c r="I141" s="47">
        <f>'Intermediate calcs'!E35*VLOOKUP(IF(ISBLANK($A141),$B141,$A141),Radionuclide_specific,8,FALSE)*VLOOKUP($B$115,Other_regional_data,4,FALSE)*Other_F_local</f>
        <v>5.3749999999999998E-14</v>
      </c>
      <c r="J141" s="47">
        <f>'Intermediate calcs'!F35*VLOOKUP(IF(ISBLANK($A141),$B141,$A141),Radionuclide_specific,8,FALSE)*VLOOKUP($B$115,Other_regional_data,4,FALSE)*Other_F_local</f>
        <v>2.6875000000000005E-17</v>
      </c>
      <c r="K141" s="46">
        <f t="shared" si="127"/>
        <v>1.1610000000000002E-11</v>
      </c>
      <c r="L141" s="46">
        <f t="shared" si="127"/>
        <v>1.1610000000000001E-13</v>
      </c>
      <c r="M141" s="47">
        <f t="shared" si="127"/>
        <v>8.0115480000000007E-9</v>
      </c>
      <c r="N141" s="47">
        <f t="shared" si="127"/>
        <v>4.0159152000000002E-12</v>
      </c>
      <c r="O141" s="46">
        <f t="shared" si="103"/>
        <v>8.0232117500000006E-9</v>
      </c>
      <c r="P141" s="46">
        <f t="shared" si="104"/>
        <v>4.1320420749999998E-12</v>
      </c>
    </row>
    <row r="142" spans="1:16">
      <c r="A142" s="4"/>
      <c r="B142" s="4" t="s">
        <v>109</v>
      </c>
      <c r="C142" s="46">
        <f>'Intermediate calcs'!G36*VLOOKUP($B$115,Other_regional_data,2,FALSE)*VLOOKUP(IF(ISBLANK($A142),$B142,$A142),Radionuclide_specific,8,FALSE)*VLOOKUP($B$115,Other_regional_data,8,FALSE)*Other_F_local</f>
        <v>0</v>
      </c>
      <c r="D142" s="46">
        <f>'Intermediate calcs'!H36*VLOOKUP($B$115,Other_regional_data,2,FALSE)*VLOOKUP(IF(ISBLANK($A142),$B142,$A142),Radionuclide_specific,8,FALSE)*VLOOKUP($B$115,Other_regional_data,9,FALSE)*Other_F_local</f>
        <v>4.6842921897738664E-14</v>
      </c>
      <c r="E142" s="47">
        <f>'Intermediate calcs'!I36*VLOOKUP($B$115,Other_regional_data,3,FALSE)*VLOOKUP(IF(ISBLANK($A142),$B142,$A142),Radionuclide_specific,8,FALSE)*VLOOKUP($B$115,Other_regional_data,8,FALSE)*Other_F_local</f>
        <v>0</v>
      </c>
      <c r="F142" s="47">
        <f>'Intermediate calcs'!J36*VLOOKUP($B$115,Other_regional_data,3,FALSE)*VLOOKUP(IF(ISBLANK($A142),$B142,$A142),Radionuclide_specific,8,FALSE)*VLOOKUP($B$115,Other_regional_data,9,FALSE)*Other_F_local</f>
        <v>1.7612061892604598E-12</v>
      </c>
      <c r="G142" s="46">
        <f t="shared" si="101"/>
        <v>0</v>
      </c>
      <c r="H142" s="46">
        <f t="shared" si="102"/>
        <v>1.8080491111581984E-12</v>
      </c>
      <c r="I142" s="47">
        <f>'Intermediate calcs'!E36*VLOOKUP(IF(ISBLANK($A142),$B142,$A142),Radionuclide_specific,8,FALSE)*VLOOKUP($B$115,Other_regional_data,4,FALSE)*Other_F_local</f>
        <v>3.6E-12</v>
      </c>
      <c r="J142" s="47">
        <f>'Intermediate calcs'!F36*VLOOKUP(IF(ISBLANK($A142),$B142,$A142),Radionuclide_specific,8,FALSE)*VLOOKUP($B$115,Other_regional_data,4,FALSE)*Other_F_local</f>
        <v>1.8000000000000001E-15</v>
      </c>
      <c r="K142" s="46">
        <f t="shared" si="127"/>
        <v>1.08E-9</v>
      </c>
      <c r="L142" s="46">
        <f t="shared" si="127"/>
        <v>1.0799999999999999E-11</v>
      </c>
      <c r="M142" s="47">
        <f t="shared" si="127"/>
        <v>1.8173159999999999E-11</v>
      </c>
      <c r="N142" s="47">
        <f t="shared" si="127"/>
        <v>9.1095839999999993E-15</v>
      </c>
      <c r="O142" s="46">
        <f t="shared" si="103"/>
        <v>1.10177316E-9</v>
      </c>
      <c r="P142" s="46">
        <f t="shared" si="104"/>
        <v>1.2618958695158197E-11</v>
      </c>
    </row>
    <row r="143" spans="1:16">
      <c r="A143" s="4"/>
      <c r="B143" s="4" t="s">
        <v>110</v>
      </c>
      <c r="C143" s="46">
        <f>'Intermediate calcs'!G37*VLOOKUP($B$115,Other_regional_data,2,FALSE)*VLOOKUP(IF(ISBLANK($A143),$B143,$A143),Radionuclide_specific,8,FALSE)*VLOOKUP($B$115,Other_regional_data,8,FALSE)*Other_F_local</f>
        <v>0</v>
      </c>
      <c r="D143" s="46">
        <f>'Intermediate calcs'!H37*VLOOKUP($B$115,Other_regional_data,2,FALSE)*VLOOKUP(IF(ISBLANK($A143),$B143,$A143),Radionuclide_specific,8,FALSE)*VLOOKUP($B$115,Other_regional_data,9,FALSE)*Other_F_local</f>
        <v>1.1870951911273949E-16</v>
      </c>
      <c r="E143" s="47">
        <f>'Intermediate calcs'!I37*VLOOKUP($B$115,Other_regional_data,3,FALSE)*VLOOKUP(IF(ISBLANK($A143),$B143,$A143),Radionuclide_specific,8,FALSE)*VLOOKUP($B$115,Other_regional_data,8,FALSE)*Other_F_local</f>
        <v>0</v>
      </c>
      <c r="F143" s="47">
        <f>'Intermediate calcs'!J37*VLOOKUP($B$115,Other_regional_data,3,FALSE)*VLOOKUP(IF(ISBLANK($A143),$B143,$A143),Radionuclide_specific,8,FALSE)*VLOOKUP($B$115,Other_regional_data,9,FALSE)*Other_F_local</f>
        <v>4.5882556063257945E-15</v>
      </c>
      <c r="G143" s="46">
        <f t="shared" si="101"/>
        <v>0</v>
      </c>
      <c r="H143" s="46">
        <f t="shared" si="102"/>
        <v>4.7069651254385342E-15</v>
      </c>
      <c r="I143" s="47">
        <f>'Intermediate calcs'!E37*VLOOKUP(IF(ISBLANK($A143),$B143,$A143),Radionuclide_specific,8,FALSE)*VLOOKUP($B$115,Other_regional_data,4,FALSE)*Other_F_local</f>
        <v>1.2499999999999997E-12</v>
      </c>
      <c r="J143" s="47">
        <f>'Intermediate calcs'!F37*VLOOKUP(IF(ISBLANK($A143),$B143,$A143),Radionuclide_specific,8,FALSE)*VLOOKUP($B$115,Other_regional_data,4,FALSE)*Other_F_local</f>
        <v>6.250000000000001E-16</v>
      </c>
      <c r="K143" s="46">
        <f t="shared" si="127"/>
        <v>1.6200000000000001E-10</v>
      </c>
      <c r="L143" s="46">
        <f t="shared" si="127"/>
        <v>1.6200000000000002E-12</v>
      </c>
      <c r="M143" s="47">
        <f t="shared" si="127"/>
        <v>1.1518200000000001E-9</v>
      </c>
      <c r="N143" s="47">
        <f t="shared" si="127"/>
        <v>5.7736800000000005E-13</v>
      </c>
      <c r="O143" s="46">
        <f t="shared" si="103"/>
        <v>1.3150700000000001E-9</v>
      </c>
      <c r="P143" s="46">
        <f t="shared" si="104"/>
        <v>2.2026999651254388E-12</v>
      </c>
    </row>
    <row r="144" spans="1:16">
      <c r="A144" s="4" t="s">
        <v>111</v>
      </c>
      <c r="B144" s="4"/>
      <c r="C144" s="46">
        <f>'Intermediate calcs'!G38*VLOOKUP($B$115,Other_regional_data,2,FALSE)*VLOOKUP(IF(ISBLANK($A144),$B144,$A144),Radionuclide_specific,8,FALSE)*VLOOKUP($B$115,Other_regional_data,8,FALSE)*Other_F_local</f>
        <v>0</v>
      </c>
      <c r="D144" s="46">
        <f>'Intermediate calcs'!H38*VLOOKUP($B$115,Other_regional_data,2,FALSE)*VLOOKUP(IF(ISBLANK($A144),$B144,$A144),Radionuclide_specific,8,FALSE)*VLOOKUP($B$115,Other_regional_data,9,FALSE)*Other_F_local</f>
        <v>3.3068733524616301E-13</v>
      </c>
      <c r="E144" s="47">
        <f>'Intermediate calcs'!I38*VLOOKUP($B$115,Other_regional_data,3,FALSE)*VLOOKUP(IF(ISBLANK($A144),$B144,$A144),Radionuclide_specific,8,FALSE)*VLOOKUP($B$115,Other_regional_data,8,FALSE)*Other_F_local</f>
        <v>0</v>
      </c>
      <c r="F144" s="47">
        <f>'Intermediate calcs'!J38*VLOOKUP($B$115,Other_regional_data,3,FALSE)*VLOOKUP(IF(ISBLANK($A144),$B144,$A144),Radionuclide_specific,8,FALSE)*VLOOKUP($B$115,Other_regional_data,9,FALSE)*Other_F_local</f>
        <v>1.7920795447895678E-12</v>
      </c>
      <c r="G144" s="46">
        <f t="shared" ref="G144" si="130">C144+E144</f>
        <v>0</v>
      </c>
      <c r="H144" s="46">
        <f t="shared" ref="H144" si="131">D144+F144</f>
        <v>2.122766880035731E-12</v>
      </c>
      <c r="I144" s="47">
        <f>'Intermediate calcs'!E38*VLOOKUP(IF(ISBLANK($A144),$B144,$A144),Radionuclide_specific,8,FALSE)*VLOOKUP($B$115,Other_regional_data,4,FALSE)*Other_F_local</f>
        <v>1.8797202797202801E-12</v>
      </c>
      <c r="J144" s="47">
        <f>'Intermediate calcs'!F38*VLOOKUP(IF(ISBLANK($A144),$B144,$A144),Radionuclide_specific,8,FALSE)*VLOOKUP($B$115,Other_regional_data,4,FALSE)*Other_F_local</f>
        <v>1.8357073170731714E-14</v>
      </c>
      <c r="K144" s="46">
        <f t="shared" si="127"/>
        <v>7.3500000000000015E-10</v>
      </c>
      <c r="L144" s="46">
        <f t="shared" si="127"/>
        <v>7.3500000000000008E-12</v>
      </c>
      <c r="M144" s="47">
        <f t="shared" si="127"/>
        <v>6.3161424000000005E-15</v>
      </c>
      <c r="N144" s="47">
        <f t="shared" si="127"/>
        <v>6.164251200000002E-17</v>
      </c>
      <c r="O144" s="46">
        <f t="shared" ref="O144" si="132">G144+I144+K144+M144</f>
        <v>7.3688603642212049E-10</v>
      </c>
      <c r="P144" s="46">
        <f t="shared" ref="P144" si="133">H144+J144+L144+N144</f>
        <v>9.4911855957184634E-12</v>
      </c>
    </row>
    <row r="145" spans="1:16">
      <c r="A145" s="4" t="s">
        <v>30</v>
      </c>
      <c r="B145" s="4"/>
      <c r="C145" s="46">
        <f>'Intermediate calcs'!G39*VLOOKUP($B$115,Other_regional_data,2,FALSE)*VLOOKUP(IF(ISBLANK($A145),$B145,$A145),Radionuclide_specific,8,FALSE)*VLOOKUP($B$115,Other_regional_data,8,FALSE)*Other_F_local</f>
        <v>0</v>
      </c>
      <c r="D145" s="46">
        <f>'Intermediate calcs'!H39*VLOOKUP($B$115,Other_regional_data,2,FALSE)*VLOOKUP(IF(ISBLANK($A145),$B145,$A145),Radionuclide_specific,8,FALSE)*VLOOKUP($B$115,Other_regional_data,9,FALSE)*Other_F_local</f>
        <v>3.0369245073627217E-13</v>
      </c>
      <c r="E145" s="47">
        <f>'Intermediate calcs'!I39*VLOOKUP($B$115,Other_regional_data,3,FALSE)*VLOOKUP(IF(ISBLANK($A145),$B145,$A145),Radionuclide_specific,8,FALSE)*VLOOKUP($B$115,Other_regional_data,8,FALSE)*Other_F_local</f>
        <v>0</v>
      </c>
      <c r="F145" s="47">
        <f>'Intermediate calcs'!J39*VLOOKUP($B$115,Other_regional_data,3,FALSE)*VLOOKUP(IF(ISBLANK($A145),$B145,$A145),Radionuclide_specific,8,FALSE)*VLOOKUP($B$115,Other_regional_data,9,FALSE)*Other_F_local</f>
        <v>1.6457873370516437E-12</v>
      </c>
      <c r="G145" s="46">
        <f t="shared" si="101"/>
        <v>0</v>
      </c>
      <c r="H145" s="46">
        <f t="shared" si="102"/>
        <v>1.949479787787916E-12</v>
      </c>
      <c r="I145" s="47">
        <f>'Intermediate calcs'!E39*VLOOKUP(IF(ISBLANK($A145),$B145,$A145),Radionuclide_specific,8,FALSE)*VLOOKUP($B$115,Other_regional_data,4,FALSE)*Other_F_local</f>
        <v>1.7262737262737267E-12</v>
      </c>
      <c r="J145" s="47">
        <f>'Intermediate calcs'!F39*VLOOKUP(IF(ISBLANK($A145),$B145,$A145),Radionuclide_specific,8,FALSE)*VLOOKUP($B$115,Other_regional_data,4,FALSE)*Other_F_local</f>
        <v>1.6858536585365856E-14</v>
      </c>
      <c r="K145" s="46">
        <f t="shared" si="127"/>
        <v>6.7500000000000005E-10</v>
      </c>
      <c r="L145" s="46">
        <f t="shared" si="127"/>
        <v>6.7499999999999993E-12</v>
      </c>
      <c r="M145" s="47">
        <f t="shared" si="127"/>
        <v>4.5592632000000009E-15</v>
      </c>
      <c r="N145" s="47">
        <f t="shared" si="127"/>
        <v>4.4496216000000007E-17</v>
      </c>
      <c r="O145" s="46">
        <f t="shared" si="103"/>
        <v>6.7673083298947372E-10</v>
      </c>
      <c r="P145" s="46">
        <f t="shared" si="104"/>
        <v>8.7163828205892824E-12</v>
      </c>
    </row>
    <row r="146" spans="1:16">
      <c r="A146" s="4"/>
      <c r="B146" s="4" t="s">
        <v>31</v>
      </c>
      <c r="C146" s="46">
        <f>'Intermediate calcs'!G40*VLOOKUP($B$115,Other_regional_data,2,FALSE)*VLOOKUP(IF(ISBLANK($A146),$B146,$A146),Radionuclide_specific,8,FALSE)*VLOOKUP($B$115,Other_regional_data,8,FALSE)*Other_F_local</f>
        <v>0</v>
      </c>
      <c r="D146" s="46">
        <f>'Intermediate calcs'!H40*VLOOKUP($B$115,Other_regional_data,2,FALSE)*VLOOKUP(IF(ISBLANK($A146),$B146,$A146),Radionuclide_specific,8,FALSE)*VLOOKUP($B$115,Other_regional_data,9,FALSE)*Other_F_local</f>
        <v>1.3907706237155102E-15</v>
      </c>
      <c r="E146" s="47">
        <f>'Intermediate calcs'!I40*VLOOKUP($B$115,Other_regional_data,3,FALSE)*VLOOKUP(IF(ISBLANK($A146),$B146,$A146),Radionuclide_specific,8,FALSE)*VLOOKUP($B$115,Other_regional_data,8,FALSE)*Other_F_local</f>
        <v>0</v>
      </c>
      <c r="F146" s="47">
        <f>'Intermediate calcs'!J40*VLOOKUP($B$115,Other_regional_data,3,FALSE)*VLOOKUP(IF(ISBLANK($A146),$B146,$A146),Radionuclide_specific,8,FALSE)*VLOOKUP($B$115,Other_regional_data,9,FALSE)*Other_F_local</f>
        <v>5.3453652788395951E-14</v>
      </c>
      <c r="G146" s="46">
        <f t="shared" si="101"/>
        <v>0</v>
      </c>
      <c r="H146" s="46">
        <f t="shared" si="102"/>
        <v>5.4844423412111459E-14</v>
      </c>
      <c r="I146" s="47">
        <f>'Intermediate calcs'!E40*VLOOKUP(IF(ISBLANK($A146),$B146,$A146),Radionuclide_specific,8,FALSE)*VLOOKUP($B$115,Other_regional_data,4,FALSE)*Other_F_local</f>
        <v>8.1518481518481543E-13</v>
      </c>
      <c r="J146" s="47">
        <f>'Intermediate calcs'!F40*VLOOKUP(IF(ISBLANK($A146),$B146,$A146),Radionuclide_specific,8,FALSE)*VLOOKUP($B$115,Other_regional_data,4,FALSE)*Other_F_local</f>
        <v>7.9609756097560994E-15</v>
      </c>
      <c r="K146" s="46">
        <f t="shared" si="127"/>
        <v>5.0999999999999998E-11</v>
      </c>
      <c r="L146" s="46">
        <f t="shared" si="127"/>
        <v>5.0999999999999995E-13</v>
      </c>
      <c r="M146" s="47">
        <f t="shared" si="127"/>
        <v>8.0730216000000012E-14</v>
      </c>
      <c r="N146" s="47">
        <f t="shared" si="127"/>
        <v>7.8788808000000002E-16</v>
      </c>
      <c r="O146" s="46">
        <f t="shared" si="103"/>
        <v>5.1895915031184816E-11</v>
      </c>
      <c r="P146" s="46">
        <f t="shared" si="104"/>
        <v>5.7359328710186749E-13</v>
      </c>
    </row>
    <row r="147" spans="1:16">
      <c r="A147" s="4"/>
      <c r="B147" s="4" t="s">
        <v>32</v>
      </c>
      <c r="C147" s="46">
        <f>'Intermediate calcs'!G41*VLOOKUP($B$115,Other_regional_data,2,FALSE)*VLOOKUP(IF(ISBLANK($A147),$B147,$A147),Radionuclide_specific,8,FALSE)*VLOOKUP($B$115,Other_regional_data,8,FALSE)*Other_F_local</f>
        <v>0</v>
      </c>
      <c r="D147" s="46">
        <f>'Intermediate calcs'!H41*VLOOKUP($B$115,Other_regional_data,2,FALSE)*VLOOKUP(IF(ISBLANK($A147),$B147,$A147),Radionuclide_specific,8,FALSE)*VLOOKUP($B$115,Other_regional_data,9,FALSE)*Other_F_local</f>
        <v>0</v>
      </c>
      <c r="E147" s="47">
        <f>'Intermediate calcs'!I41*VLOOKUP($B$115,Other_regional_data,3,FALSE)*VLOOKUP(IF(ISBLANK($A147),$B147,$A147),Radionuclide_specific,8,FALSE)*VLOOKUP($B$115,Other_regional_data,8,FALSE)*Other_F_local</f>
        <v>0</v>
      </c>
      <c r="F147" s="47">
        <f>'Intermediate calcs'!J41*VLOOKUP($B$115,Other_regional_data,3,FALSE)*VLOOKUP(IF(ISBLANK($A147),$B147,$A147),Radionuclide_specific,8,FALSE)*VLOOKUP($B$115,Other_regional_data,9,FALSE)*Other_F_local</f>
        <v>0</v>
      </c>
      <c r="G147" s="46">
        <f t="shared" si="101"/>
        <v>0</v>
      </c>
      <c r="H147" s="46">
        <f t="shared" si="102"/>
        <v>0</v>
      </c>
      <c r="I147" s="47">
        <f>'Intermediate calcs'!E41*VLOOKUP(IF(ISBLANK($A147),$B147,$A147),Radionuclide_specific,8,FALSE)*VLOOKUP($B$115,Other_regional_data,4,FALSE)*Other_F_local</f>
        <v>0</v>
      </c>
      <c r="J147" s="47">
        <f>'Intermediate calcs'!F41*VLOOKUP(IF(ISBLANK($A147),$B147,$A147),Radionuclide_specific,8,FALSE)*VLOOKUP($B$115,Other_regional_data,4,FALSE)*Other_F_local</f>
        <v>0</v>
      </c>
      <c r="K147" s="46">
        <f t="shared" si="127"/>
        <v>0</v>
      </c>
      <c r="L147" s="46">
        <f t="shared" si="127"/>
        <v>0</v>
      </c>
      <c r="M147" s="47">
        <f t="shared" si="127"/>
        <v>1.1640672000000001E-12</v>
      </c>
      <c r="N147" s="47">
        <f t="shared" si="127"/>
        <v>1.1360736000000002E-14</v>
      </c>
      <c r="O147" s="46">
        <f t="shared" si="103"/>
        <v>1.1640672000000001E-12</v>
      </c>
      <c r="P147" s="46">
        <f t="shared" si="104"/>
        <v>1.1360736000000002E-14</v>
      </c>
    </row>
    <row r="148" spans="1:16" s="114" customFormat="1">
      <c r="A148" s="88" t="s">
        <v>13</v>
      </c>
      <c r="B148" s="91"/>
      <c r="C148" s="89">
        <f>'Intermediate calcs'!G42*VLOOKUP($B$115,Other_regional_data,2,FALSE)*VLOOKUP(IF(ISBLANK($A148),$B148,$A148),Radionuclide_specific,8,FALSE)*VLOOKUP($B$115,Other_regional_data,8,FALSE)*Other_F_local</f>
        <v>0</v>
      </c>
      <c r="D148" s="89">
        <f>'Intermediate calcs'!H42*VLOOKUP($B$115,Other_regional_data,2,FALSE)*VLOOKUP(IF(ISBLANK($A148),$B148,$A148),Radionuclide_specific,8,FALSE)*VLOOKUP($B$115,Other_regional_data,9,FALSE)*Other_F_local</f>
        <v>3.1558767862282479E-13</v>
      </c>
      <c r="E148" s="90">
        <f>'Intermediate calcs'!I42*VLOOKUP($B$115,Other_regional_data,3,FALSE)*VLOOKUP(IF(ISBLANK($A148),$B148,$A148),Radionuclide_specific,8,FALSE)*VLOOKUP($B$115,Other_regional_data,8,FALSE)*Other_F_local</f>
        <v>0</v>
      </c>
      <c r="F148" s="90">
        <f>'Intermediate calcs'!J42*VLOOKUP($B$115,Other_regional_data,3,FALSE)*VLOOKUP(IF(ISBLANK($A148),$B148,$A148),Radionuclide_specific,8,FALSE)*VLOOKUP($B$115,Other_regional_data,9,FALSE)*Other_F_local</f>
        <v>6.5309021311573156E-12</v>
      </c>
      <c r="G148" s="89">
        <f t="shared" si="101"/>
        <v>0</v>
      </c>
      <c r="H148" s="89">
        <f t="shared" si="102"/>
        <v>6.8464898097801406E-12</v>
      </c>
      <c r="I148" s="90">
        <f>'Intermediate calcs'!E42*VLOOKUP(IF(ISBLANK($A148),$B148,$A148),Radionuclide_specific,8,FALSE)*VLOOKUP($B$115,Other_regional_data,4,FALSE)*Other_F_local</f>
        <v>5.1724137931034483E-11</v>
      </c>
      <c r="J148" s="90">
        <f>'Intermediate calcs'!F42*VLOOKUP(IF(ISBLANK($A148),$B148,$A148),Radionuclide_specific,8,FALSE)*VLOOKUP($B$115,Other_regional_data,4,FALSE)*Other_F_local</f>
        <v>2.4793388429752066E-14</v>
      </c>
      <c r="K148" s="89">
        <f t="shared" si="127"/>
        <v>3.375E-9</v>
      </c>
      <c r="L148" s="89">
        <f t="shared" si="127"/>
        <v>3.3750000000000006E-11</v>
      </c>
      <c r="M148" s="90">
        <f t="shared" si="127"/>
        <v>2.5335072000000002E-12</v>
      </c>
      <c r="N148" s="90">
        <f t="shared" si="127"/>
        <v>1.2146112E-15</v>
      </c>
      <c r="O148" s="89">
        <f t="shared" si="103"/>
        <v>3.4292576451310345E-9</v>
      </c>
      <c r="P148" s="89">
        <f t="shared" si="104"/>
        <v>4.0622497809409902E-11</v>
      </c>
    </row>
    <row r="149" spans="1:16" s="114" customFormat="1">
      <c r="A149" s="91" t="s">
        <v>18</v>
      </c>
      <c r="B149" s="91"/>
      <c r="C149" s="89">
        <f>'Intermediate calcs'!G43*VLOOKUP($B$115,Other_regional_data,2,FALSE)*VLOOKUP(IF(ISBLANK($A149),$B149,$A149),Radionuclide_specific,8,FALSE)*VLOOKUP($B$115,Other_regional_data,8,FALSE)*Other_F_local</f>
        <v>0</v>
      </c>
      <c r="D149" s="89">
        <f>'Intermediate calcs'!H43*VLOOKUP($B$115,Other_regional_data,2,FALSE)*VLOOKUP(IF(ISBLANK($A149),$B149,$A149),Radionuclide_specific,8,FALSE)*VLOOKUP($B$115,Other_regional_data,9,FALSE)*Other_F_local</f>
        <v>3.1558767862282479E-13</v>
      </c>
      <c r="E149" s="90">
        <f>'Intermediate calcs'!I43*VLOOKUP($B$115,Other_regional_data,3,FALSE)*VLOOKUP(IF(ISBLANK($A149),$B149,$A149),Radionuclide_specific,8,FALSE)*VLOOKUP($B$115,Other_regional_data,8,FALSE)*Other_F_local</f>
        <v>0</v>
      </c>
      <c r="F149" s="90">
        <f>'Intermediate calcs'!J43*VLOOKUP($B$115,Other_regional_data,3,FALSE)*VLOOKUP(IF(ISBLANK($A149),$B149,$A149),Radionuclide_specific,8,FALSE)*VLOOKUP($B$115,Other_regional_data,9,FALSE)*Other_F_local</f>
        <v>6.5309021311573156E-12</v>
      </c>
      <c r="G149" s="89">
        <f t="shared" si="101"/>
        <v>0</v>
      </c>
      <c r="H149" s="89">
        <f t="shared" si="102"/>
        <v>6.8464898097801406E-12</v>
      </c>
      <c r="I149" s="90">
        <f>'Intermediate calcs'!E43*VLOOKUP(IF(ISBLANK($A149),$B149,$A149),Radionuclide_specific,8,FALSE)*VLOOKUP($B$115,Other_regional_data,4,FALSE)*Other_F_local</f>
        <v>5.1724137931034483E-11</v>
      </c>
      <c r="J149" s="90">
        <f>'Intermediate calcs'!F43*VLOOKUP(IF(ISBLANK($A149),$B149,$A149),Radionuclide_specific,8,FALSE)*VLOOKUP($B$115,Other_regional_data,4,FALSE)*Other_F_local</f>
        <v>2.4793388429752066E-14</v>
      </c>
      <c r="K149" s="89">
        <f t="shared" si="127"/>
        <v>3.375E-9</v>
      </c>
      <c r="L149" s="89">
        <f t="shared" si="127"/>
        <v>3.3750000000000006E-11</v>
      </c>
      <c r="M149" s="90">
        <f t="shared" si="127"/>
        <v>5.3614008000000006E-12</v>
      </c>
      <c r="N149" s="90">
        <f t="shared" si="127"/>
        <v>2.5703568000000008E-15</v>
      </c>
      <c r="O149" s="89">
        <f t="shared" si="103"/>
        <v>3.4320855387310345E-9</v>
      </c>
      <c r="P149" s="89">
        <f t="shared" si="104"/>
        <v>4.0623853555009898E-11</v>
      </c>
    </row>
    <row r="150" spans="1:16">
      <c r="A150" t="s">
        <v>9</v>
      </c>
      <c r="C150" s="46">
        <f>'Intermediate calcs'!G44*VLOOKUP($B$115,Other_regional_data,2,FALSE)*VLOOKUP(IF(ISBLANK($A150),$B150,$A150),Radionuclide_specific,8,FALSE)*VLOOKUP($B$115,Other_regional_data,8,FALSE)*Other_F_local</f>
        <v>0</v>
      </c>
      <c r="D150" s="46">
        <f>'Intermediate calcs'!H44*VLOOKUP($B$115,Other_regional_data,2,FALSE)*VLOOKUP(IF(ISBLANK($A150),$B150,$A150),Radionuclide_specific,8,FALSE)*VLOOKUP($B$115,Other_regional_data,9,FALSE)*Other_F_local</f>
        <v>3.5928443412444661E-13</v>
      </c>
      <c r="E150" s="47">
        <f>'Intermediate calcs'!I44*VLOOKUP($B$115,Other_regional_data,3,FALSE)*VLOOKUP(IF(ISBLANK($A150),$B150,$A150),Radionuclide_specific,8,FALSE)*VLOOKUP($B$115,Other_regional_data,8,FALSE)*Other_F_local</f>
        <v>0</v>
      </c>
      <c r="F150" s="47">
        <f>'Intermediate calcs'!J44*VLOOKUP($B$115,Other_regional_data,3,FALSE)*VLOOKUP(IF(ISBLANK($A150),$B150,$A150),Radionuclide_specific,8,FALSE)*VLOOKUP($B$115,Other_regional_data,9,FALSE)*Other_F_local</f>
        <v>5.4147115851049746E-12</v>
      </c>
      <c r="G150" s="46">
        <f t="shared" si="101"/>
        <v>0</v>
      </c>
      <c r="H150" s="46">
        <f t="shared" si="102"/>
        <v>5.7739960192294212E-12</v>
      </c>
      <c r="I150" s="47">
        <f>'Intermediate calcs'!E44*VLOOKUP(IF(ISBLANK($A150),$B150,$A150),Radionuclide_specific,8,FALSE)*VLOOKUP($B$115,Other_regional_data,4,FALSE)*Other_F_local</f>
        <v>5.6470588235294116E-10</v>
      </c>
      <c r="J150" s="47">
        <f>'Intermediate calcs'!F44*VLOOKUP(IF(ISBLANK($A150),$B150,$A150),Radionuclide_specific,8,FALSE)*VLOOKUP($B$115,Other_regional_data,4,FALSE)*Other_F_local</f>
        <v>3.147540983606558E-13</v>
      </c>
      <c r="K150" s="46">
        <f t="shared" si="127"/>
        <v>2.7000000000000002E-9</v>
      </c>
      <c r="L150" s="46">
        <f t="shared" si="127"/>
        <v>2.7000000000000004E-11</v>
      </c>
      <c r="M150" s="47">
        <f t="shared" si="127"/>
        <v>1.7715456E-10</v>
      </c>
      <c r="N150" s="47">
        <f t="shared" si="127"/>
        <v>9.8642880000000008E-14</v>
      </c>
      <c r="O150" s="46">
        <f t="shared" si="103"/>
        <v>3.4418604423529416E-9</v>
      </c>
      <c r="P150" s="46">
        <f t="shared" si="104"/>
        <v>3.3187392997590085E-11</v>
      </c>
    </row>
    <row r="152" spans="1:16" s="113" customFormat="1" ht="12.75">
      <c r="A152" s="44" t="s">
        <v>297</v>
      </c>
      <c r="B152" s="44" t="s">
        <v>58</v>
      </c>
      <c r="C152" s="133" t="s">
        <v>153</v>
      </c>
      <c r="D152" s="133"/>
      <c r="E152" s="133"/>
      <c r="F152" s="133"/>
      <c r="G152" s="133"/>
      <c r="H152" s="133"/>
      <c r="I152" s="133"/>
      <c r="J152" s="133"/>
      <c r="K152" s="133" t="s">
        <v>154</v>
      </c>
      <c r="L152" s="133"/>
      <c r="M152" s="133"/>
      <c r="N152" s="133"/>
      <c r="O152" s="133" t="s">
        <v>64</v>
      </c>
      <c r="P152" s="133"/>
    </row>
    <row r="153" spans="1:16">
      <c r="A153" s="129" t="s">
        <v>149</v>
      </c>
      <c r="B153" s="129" t="s">
        <v>150</v>
      </c>
      <c r="C153" s="131" t="s">
        <v>218</v>
      </c>
      <c r="D153" s="131"/>
      <c r="E153" s="132" t="s">
        <v>219</v>
      </c>
      <c r="F153" s="132"/>
      <c r="G153" s="131" t="s">
        <v>220</v>
      </c>
      <c r="H153" s="131"/>
      <c r="I153" s="132" t="s">
        <v>221</v>
      </c>
      <c r="J153" s="132"/>
      <c r="K153" s="131" t="s">
        <v>201</v>
      </c>
      <c r="L153" s="131"/>
      <c r="M153" s="132" t="s">
        <v>202</v>
      </c>
      <c r="N153" s="132"/>
      <c r="O153" s="131" t="s">
        <v>222</v>
      </c>
      <c r="P153" s="131"/>
    </row>
    <row r="154" spans="1:16">
      <c r="A154" s="129"/>
      <c r="B154" s="129"/>
      <c r="C154" s="70" t="s">
        <v>73</v>
      </c>
      <c r="D154" s="70" t="s">
        <v>74</v>
      </c>
      <c r="E154" s="69" t="s">
        <v>73</v>
      </c>
      <c r="F154" s="69" t="s">
        <v>74</v>
      </c>
      <c r="G154" s="70" t="s">
        <v>73</v>
      </c>
      <c r="H154" s="70" t="s">
        <v>74</v>
      </c>
      <c r="I154" s="69" t="s">
        <v>73</v>
      </c>
      <c r="J154" s="69" t="s">
        <v>74</v>
      </c>
      <c r="K154" s="70" t="s">
        <v>73</v>
      </c>
      <c r="L154" s="70" t="s">
        <v>74</v>
      </c>
      <c r="M154" s="69" t="s">
        <v>73</v>
      </c>
      <c r="N154" s="69" t="s">
        <v>74</v>
      </c>
      <c r="O154" s="48" t="s">
        <v>73</v>
      </c>
      <c r="P154" s="48" t="s">
        <v>74</v>
      </c>
    </row>
    <row r="155" spans="1:16">
      <c r="A155" s="4" t="s">
        <v>33</v>
      </c>
      <c r="B155" s="4"/>
      <c r="C155" s="46">
        <f>'Intermediate calcs'!G12*VLOOKUP($B$152,Other_regional_data,2,FALSE)*VLOOKUP(IF(ISBLANK($A155),$B155,$A155),Radionuclide_specific,8,FALSE)*VLOOKUP($B$152,Other_regional_data,8,FALSE)*Other_F_local</f>
        <v>0</v>
      </c>
      <c r="D155" s="46">
        <f>'Intermediate calcs'!H12*VLOOKUP($B$152,Other_regional_data,2,FALSE)*VLOOKUP(IF(ISBLANK($A155),$B155,$A155),Radionuclide_specific,8,FALSE)*VLOOKUP($B$152,Other_regional_data,9,FALSE)*Other_F_local</f>
        <v>1.1854334754749466E-17</v>
      </c>
      <c r="E155" s="47">
        <f>'Intermediate calcs'!I12*VLOOKUP($B$152,Other_regional_data,3,FALSE)*VLOOKUP(IF(ISBLANK($A155),$B155,$A155),Radionuclide_specific,8,FALSE)*VLOOKUP($B$152,Other_regional_data,8,FALSE)*Other_F_local</f>
        <v>0</v>
      </c>
      <c r="F155" s="47">
        <f>'Intermediate calcs'!J12*VLOOKUP($B$152,Other_regional_data,3,FALSE)*VLOOKUP(IF(ISBLANK($A155),$B155,$A155),Radionuclide_specific,8,FALSE)*VLOOKUP($B$152,Other_regional_data,9,FALSE)*Other_F_local</f>
        <v>2.63262214439945E-16</v>
      </c>
      <c r="G155" s="46">
        <f>C155+E155</f>
        <v>0</v>
      </c>
      <c r="H155" s="46">
        <f>D155+F155</f>
        <v>2.7511654919469445E-16</v>
      </c>
      <c r="I155" s="47">
        <f>'Intermediate calcs'!E12*VLOOKUP(IF(ISBLANK($A155),$B155,$A155),Radionuclide_specific,8,FALSE)*VLOOKUP($B$152,Other_regional_data,4,FALSE)*Other_F_local</f>
        <v>1.5795000000000001E-15</v>
      </c>
      <c r="J155" s="47">
        <f>'Intermediate calcs'!F12*VLOOKUP(IF(ISBLANK($A155),$B155,$A155),Radionuclide_specific,8,FALSE)*VLOOKUP($B$152,Other_regional_data,4,FALSE)*Other_F_local</f>
        <v>1.5795E-17</v>
      </c>
      <c r="K155" s="46">
        <f t="shared" ref="K155:N174" si="134">K118</f>
        <v>9E-13</v>
      </c>
      <c r="L155" s="46">
        <f t="shared" si="134"/>
        <v>8.9999999999999995E-15</v>
      </c>
      <c r="M155" s="47">
        <f t="shared" si="134"/>
        <v>0</v>
      </c>
      <c r="N155" s="47">
        <f t="shared" si="134"/>
        <v>0</v>
      </c>
      <c r="O155" s="46">
        <f>G155+I155+K155+M155</f>
        <v>9.015795E-13</v>
      </c>
      <c r="P155" s="46">
        <f>H155+J155+L155+N155</f>
        <v>9.2909115491946936E-15</v>
      </c>
    </row>
    <row r="156" spans="1:16">
      <c r="A156" s="4"/>
      <c r="B156" s="4" t="s">
        <v>43</v>
      </c>
      <c r="C156" s="46">
        <f>'Intermediate calcs'!G13*VLOOKUP($B$152,Other_regional_data,2,FALSE)*VLOOKUP(IF(ISBLANK($A156),$B156,$A156),Radionuclide_specific,8,FALSE)*VLOOKUP($B$152,Other_regional_data,8,FALSE)*Other_F_local</f>
        <v>0</v>
      </c>
      <c r="D156" s="46">
        <f>'Intermediate calcs'!H13*VLOOKUP($B$152,Other_regional_data,2,FALSE)*VLOOKUP(IF(ISBLANK($A156),$B156,$A156),Radionuclide_specific,8,FALSE)*VLOOKUP($B$152,Other_regional_data,9,FALSE)*Other_F_local</f>
        <v>6.1339069754975658E-17</v>
      </c>
      <c r="E156" s="47">
        <f>'Intermediate calcs'!I13*VLOOKUP($B$152,Other_regional_data,3,FALSE)*VLOOKUP(IF(ISBLANK($A156),$B156,$A156),Radionuclide_specific,8,FALSE)*VLOOKUP($B$152,Other_regional_data,8,FALSE)*Other_F_local</f>
        <v>0</v>
      </c>
      <c r="F156" s="47">
        <f>'Intermediate calcs'!J13*VLOOKUP($B$152,Other_regional_data,3,FALSE)*VLOOKUP(IF(ISBLANK($A156),$B156,$A156),Radionuclide_specific,8,FALSE)*VLOOKUP($B$152,Other_regional_data,9,FALSE)*Other_F_local</f>
        <v>1.4710634695574662E-17</v>
      </c>
      <c r="G156" s="46">
        <f t="shared" ref="G156:G187" si="135">C156+E156</f>
        <v>0</v>
      </c>
      <c r="H156" s="46">
        <f t="shared" ref="H156:H187" si="136">D156+F156</f>
        <v>7.604970445055032E-17</v>
      </c>
      <c r="I156" s="47">
        <f>'Intermediate calcs'!E13*VLOOKUP(IF(ISBLANK($A156),$B156,$A156),Radionuclide_specific,8,FALSE)*VLOOKUP($B$152,Other_regional_data,4,FALSE)*Other_F_local</f>
        <v>4.4594549999999991E-19</v>
      </c>
      <c r="J156" s="47">
        <f>'Intermediate calcs'!F13*VLOOKUP(IF(ISBLANK($A156),$B156,$A156),Radionuclide_specific,8,FALSE)*VLOOKUP($B$152,Other_regional_data,4,FALSE)*Other_F_local</f>
        <v>4.4594549999999992E-21</v>
      </c>
      <c r="K156" s="46">
        <f t="shared" si="134"/>
        <v>2.0999999999999999E-12</v>
      </c>
      <c r="L156" s="46">
        <f t="shared" si="134"/>
        <v>2.0999999999999999E-14</v>
      </c>
      <c r="M156" s="47">
        <f t="shared" si="134"/>
        <v>0</v>
      </c>
      <c r="N156" s="47">
        <f t="shared" si="134"/>
        <v>0</v>
      </c>
      <c r="O156" s="46">
        <f t="shared" ref="O156:O187" si="137">G156+I156+K156+M156</f>
        <v>2.1000004459455001E-12</v>
      </c>
      <c r="P156" s="46">
        <f t="shared" ref="P156:P187" si="138">H156+J156+L156+N156</f>
        <v>2.107605416390555E-14</v>
      </c>
    </row>
    <row r="157" spans="1:16">
      <c r="A157" s="4" t="s">
        <v>10</v>
      </c>
      <c r="B157" s="4"/>
      <c r="C157" s="46">
        <f>'Intermediate calcs'!G14*VLOOKUP($B$152,Other_regional_data,2,FALSE)*VLOOKUP(IF(ISBLANK($A157),$B157,$A157),Radionuclide_specific,8,FALSE)*VLOOKUP($B$152,Other_regional_data,8,FALSE)*Other_F_local</f>
        <v>0</v>
      </c>
      <c r="D157" s="46">
        <f>'Intermediate calcs'!H14*VLOOKUP($B$152,Other_regional_data,2,FALSE)*VLOOKUP(IF(ISBLANK($A157),$B157,$A157),Radionuclide_specific,8,FALSE)*VLOOKUP($B$152,Other_regional_data,9,FALSE)*Other_F_local</f>
        <v>2.3081804205166809E-12</v>
      </c>
      <c r="E157" s="47">
        <f>'Intermediate calcs'!I14*VLOOKUP($B$152,Other_regional_data,3,FALSE)*VLOOKUP(IF(ISBLANK($A157),$B157,$A157),Radionuclide_specific,8,FALSE)*VLOOKUP($B$152,Other_regional_data,8,FALSE)*Other_F_local</f>
        <v>0</v>
      </c>
      <c r="F157" s="47">
        <f>'Intermediate calcs'!J14*VLOOKUP($B$152,Other_regional_data,3,FALSE)*VLOOKUP(IF(ISBLANK($A157),$B157,$A157),Radionuclide_specific,8,FALSE)*VLOOKUP($B$152,Other_regional_data,9,FALSE)*Other_F_local</f>
        <v>5.1431733459867021E-13</v>
      </c>
      <c r="G157" s="46">
        <f t="shared" si="135"/>
        <v>0</v>
      </c>
      <c r="H157" s="46">
        <f t="shared" si="136"/>
        <v>2.8224977551153512E-12</v>
      </c>
      <c r="I157" s="47">
        <f>'Intermediate calcs'!E14*VLOOKUP(IF(ISBLANK($A157),$B157,$A157),Radionuclide_specific,8,FALSE)*VLOOKUP($B$152,Other_regional_data,4,FALSE)*Other_F_local</f>
        <v>2.6097390260973906E-8</v>
      </c>
      <c r="J157" s="47">
        <f>'Intermediate calcs'!F14*VLOOKUP(IF(ISBLANK($A157),$B157,$A157),Radionuclide_specific,8,FALSE)*VLOOKUP($B$152,Other_regional_data,4,FALSE)*Other_F_local</f>
        <v>2.6034912718204493E-10</v>
      </c>
      <c r="K157" s="46">
        <f t="shared" si="134"/>
        <v>2.9E-11</v>
      </c>
      <c r="L157" s="46">
        <f t="shared" si="134"/>
        <v>2.8999999999999998E-13</v>
      </c>
      <c r="M157" s="47">
        <f t="shared" si="134"/>
        <v>1.3688568000000001E-17</v>
      </c>
      <c r="N157" s="47">
        <f t="shared" si="134"/>
        <v>1.3661136000000002E-19</v>
      </c>
      <c r="O157" s="46">
        <f t="shared" si="137"/>
        <v>2.6126390274662474E-8</v>
      </c>
      <c r="P157" s="46">
        <f t="shared" si="138"/>
        <v>2.6346162507377163E-10</v>
      </c>
    </row>
    <row r="158" spans="1:16">
      <c r="A158" s="4" t="s">
        <v>240</v>
      </c>
      <c r="B158" s="4"/>
      <c r="C158" s="46">
        <f>'Intermediate calcs'!G15*VLOOKUP($B$152,Other_regional_data,2,FALSE)*VLOOKUP(IF(ISBLANK($A158),$B158,$A158),Radionuclide_specific,8,FALSE)*VLOOKUP($B$152,Other_regional_data,8,FALSE)*Other_F_local</f>
        <v>0</v>
      </c>
      <c r="D158" s="46">
        <f>'Intermediate calcs'!H15*VLOOKUP($B$152,Other_regional_data,2,FALSE)*VLOOKUP(IF(ISBLANK($A158),$B158,$A158),Radionuclide_specific,8,FALSE)*VLOOKUP($B$152,Other_regional_data,9,FALSE)*Other_F_local</f>
        <v>6.1335800509430475E-14</v>
      </c>
      <c r="E158" s="47">
        <f>'Intermediate calcs'!I15*VLOOKUP($B$152,Other_regional_data,3,FALSE)*VLOOKUP(IF(ISBLANK($A158),$B158,$A158),Radionuclide_specific,8,FALSE)*VLOOKUP($B$152,Other_regional_data,8,FALSE)*Other_F_local</f>
        <v>0</v>
      </c>
      <c r="F158" s="47">
        <f>'Intermediate calcs'!J15*VLOOKUP($B$152,Other_regional_data,3,FALSE)*VLOOKUP(IF(ISBLANK($A158),$B158,$A158),Radionuclide_specific,8,FALSE)*VLOOKUP($B$152,Other_regional_data,9,FALSE)*Other_F_local</f>
        <v>5.8588864216291469E-14</v>
      </c>
      <c r="G158" s="46">
        <f t="shared" si="135"/>
        <v>0</v>
      </c>
      <c r="H158" s="46">
        <f t="shared" si="136"/>
        <v>1.1992466472572194E-13</v>
      </c>
      <c r="I158" s="47">
        <f>'Intermediate calcs'!E15*VLOOKUP(IF(ISBLANK($A158),$B158,$A158),Radionuclide_specific,8,FALSE)*VLOOKUP($B$152,Other_regional_data,4,FALSE)*Other_F_local</f>
        <v>6.902390438247012E-11</v>
      </c>
      <c r="J158" s="47">
        <f>'Intermediate calcs'!F15*VLOOKUP(IF(ISBLANK($A158),$B158,$A158),Radionuclide_specific,8,FALSE)*VLOOKUP($B$152,Other_regional_data,4,FALSE)*Other_F_local</f>
        <v>6.3000000000000004E-13</v>
      </c>
      <c r="K158" s="46">
        <f t="shared" si="134"/>
        <v>2.0790000000000003E-11</v>
      </c>
      <c r="L158" s="46">
        <f t="shared" si="134"/>
        <v>2.0790000000000003E-13</v>
      </c>
      <c r="M158" s="47">
        <f t="shared" si="134"/>
        <v>5.7168720000000014E-16</v>
      </c>
      <c r="N158" s="47">
        <f t="shared" si="134"/>
        <v>5.2284960000000007E-18</v>
      </c>
      <c r="O158" s="46">
        <f t="shared" si="137"/>
        <v>8.9814476069670124E-11</v>
      </c>
      <c r="P158" s="46">
        <f t="shared" si="138"/>
        <v>9.578298932217221E-13</v>
      </c>
    </row>
    <row r="159" spans="1:16">
      <c r="A159" s="4" t="s">
        <v>237</v>
      </c>
      <c r="B159" s="4"/>
      <c r="C159" s="46">
        <f>'Intermediate calcs'!G16*VLOOKUP($B$152,Other_regional_data,2,FALSE)*VLOOKUP(IF(ISBLANK($A159),$B159,$A159),Radionuclide_specific,8,FALSE)*VLOOKUP($B$152,Other_regional_data,8,FALSE)*Other_F_local</f>
        <v>0</v>
      </c>
      <c r="D159" s="46">
        <f>'Intermediate calcs'!H16*VLOOKUP($B$152,Other_regional_data,2,FALSE)*VLOOKUP(IF(ISBLANK($A159),$B159,$A159),Radionuclide_specific,8,FALSE)*VLOOKUP($B$152,Other_regional_data,9,FALSE)*Other_F_local</f>
        <v>1.3070135659545852E-14</v>
      </c>
      <c r="E159" s="47">
        <f>'Intermediate calcs'!I16*VLOOKUP($B$152,Other_regional_data,3,FALSE)*VLOOKUP(IF(ISBLANK($A159),$B159,$A159),Radionuclide_specific,8,FALSE)*VLOOKUP($B$152,Other_regional_data,8,FALSE)*Other_F_local</f>
        <v>0</v>
      </c>
      <c r="F159" s="47">
        <f>'Intermediate calcs'!J16*VLOOKUP($B$152,Other_regional_data,3,FALSE)*VLOOKUP(IF(ISBLANK($A159),$B159,$A159),Radionuclide_specific,8,FALSE)*VLOOKUP($B$152,Other_regional_data,9,FALSE)*Other_F_local</f>
        <v>5.6658790767291055E-14</v>
      </c>
      <c r="G159" s="46">
        <f t="shared" ref="G159:G160" si="139">C159+E159</f>
        <v>0</v>
      </c>
      <c r="H159" s="46">
        <f t="shared" ref="H159:H160" si="140">D159+F159</f>
        <v>6.972892642683691E-14</v>
      </c>
      <c r="I159" s="47">
        <f>'Intermediate calcs'!E16*VLOOKUP(IF(ISBLANK($A159),$B159,$A159),Radionuclide_specific,8,FALSE)*VLOOKUP($B$152,Other_regional_data,4,FALSE)*Other_F_local</f>
        <v>7.4302325581395354E-12</v>
      </c>
      <c r="J159" s="47">
        <f>'Intermediate calcs'!F16*VLOOKUP(IF(ISBLANK($A159),$B159,$A159),Radionuclide_specific,8,FALSE)*VLOOKUP($B$152,Other_regional_data,4,FALSE)*Other_F_local</f>
        <v>4.7333333333333335E-15</v>
      </c>
      <c r="K159" s="46">
        <f t="shared" si="134"/>
        <v>1.2780000000000002E-11</v>
      </c>
      <c r="L159" s="46">
        <f t="shared" si="134"/>
        <v>1.278E-13</v>
      </c>
      <c r="M159" s="47">
        <f t="shared" si="134"/>
        <v>5.2281936000000011E-9</v>
      </c>
      <c r="N159" s="47">
        <f t="shared" si="134"/>
        <v>3.3316920000000003E-12</v>
      </c>
      <c r="O159" s="46">
        <f t="shared" ref="O159:O160" si="141">G159+I159+K159+M159</f>
        <v>5.2484038325581405E-9</v>
      </c>
      <c r="P159" s="46">
        <f t="shared" ref="P159:P160" si="142">H159+J159+L159+N159</f>
        <v>3.5339542597601706E-12</v>
      </c>
    </row>
    <row r="160" spans="1:16">
      <c r="A160" s="4" t="s">
        <v>236</v>
      </c>
      <c r="B160" s="4"/>
      <c r="C160" s="46">
        <f>'Intermediate calcs'!G17*VLOOKUP($B$152,Other_regional_data,2,FALSE)*VLOOKUP(IF(ISBLANK($A160),$B160,$A160),Radionuclide_specific,8,FALSE)*VLOOKUP($B$152,Other_regional_data,8,FALSE)*Other_F_local</f>
        <v>0</v>
      </c>
      <c r="D160" s="46">
        <f>'Intermediate calcs'!H17*VLOOKUP($B$152,Other_regional_data,2,FALSE)*VLOOKUP(IF(ISBLANK($A160),$B160,$A160),Radionuclide_specific,8,FALSE)*VLOOKUP($B$152,Other_regional_data,9,FALSE)*Other_F_local</f>
        <v>8.4073249345609786E-15</v>
      </c>
      <c r="E160" s="47">
        <f>'Intermediate calcs'!I17*VLOOKUP($B$152,Other_regional_data,3,FALSE)*VLOOKUP(IF(ISBLANK($A160),$B160,$A160),Radionuclide_specific,8,FALSE)*VLOOKUP($B$152,Other_regional_data,8,FALSE)*Other_F_local</f>
        <v>0</v>
      </c>
      <c r="F160" s="47">
        <f>'Intermediate calcs'!J17*VLOOKUP($B$152,Other_regional_data,3,FALSE)*VLOOKUP(IF(ISBLANK($A160),$B160,$A160),Radionuclide_specific,8,FALSE)*VLOOKUP($B$152,Other_regional_data,9,FALSE)*Other_F_local</f>
        <v>4.2389856736956569E-14</v>
      </c>
      <c r="G160" s="46">
        <f t="shared" si="139"/>
        <v>0</v>
      </c>
      <c r="H160" s="46">
        <f t="shared" si="140"/>
        <v>5.0797181671517547E-14</v>
      </c>
      <c r="I160" s="47">
        <f>'Intermediate calcs'!E17*VLOOKUP(IF(ISBLANK($A160),$B160,$A160),Radionuclide_specific,8,FALSE)*VLOOKUP($B$152,Other_regional_data,4,FALSE)*Other_F_local</f>
        <v>3.3654255319148934E-12</v>
      </c>
      <c r="J160" s="47">
        <f>'Intermediate calcs'!F17*VLOOKUP(IF(ISBLANK($A160),$B160,$A160),Radionuclide_specific,8,FALSE)*VLOOKUP($B$152,Other_regional_data,4,FALSE)*Other_F_local</f>
        <v>2.7508695652173917E-15</v>
      </c>
      <c r="K160" s="46">
        <f t="shared" si="134"/>
        <v>1.9980000000000002E-11</v>
      </c>
      <c r="L160" s="46">
        <f t="shared" si="134"/>
        <v>1.9980000000000004E-13</v>
      </c>
      <c r="M160" s="47">
        <f t="shared" si="134"/>
        <v>4.655340000000001E-9</v>
      </c>
      <c r="N160" s="47">
        <f t="shared" si="134"/>
        <v>3.8161800000000004E-12</v>
      </c>
      <c r="O160" s="46">
        <f t="shared" si="141"/>
        <v>4.6786854255319163E-9</v>
      </c>
      <c r="P160" s="46">
        <f t="shared" si="142"/>
        <v>4.0695280512367352E-12</v>
      </c>
    </row>
    <row r="161" spans="1:16">
      <c r="A161" s="4" t="s">
        <v>11</v>
      </c>
      <c r="B161" s="4"/>
      <c r="C161" s="46">
        <f>'Intermediate calcs'!G18*VLOOKUP($B$152,Other_regional_data,2,FALSE)*VLOOKUP(IF(ISBLANK($A161),$B161,$A161),Radionuclide_specific,8,FALSE)*VLOOKUP($B$152,Other_regional_data,8,FALSE)*Other_F_local</f>
        <v>0</v>
      </c>
      <c r="D161" s="46">
        <f>'Intermediate calcs'!H18*VLOOKUP($B$152,Other_regional_data,2,FALSE)*VLOOKUP(IF(ISBLANK($A161),$B161,$A161),Radionuclide_specific,8,FALSE)*VLOOKUP($B$152,Other_regional_data,9,FALSE)*Other_F_local</f>
        <v>7.6966061431004299E-14</v>
      </c>
      <c r="E161" s="47">
        <f>'Intermediate calcs'!I18*VLOOKUP($B$152,Other_regional_data,3,FALSE)*VLOOKUP(IF(ISBLANK($A161),$B161,$A161),Radionuclide_specific,8,FALSE)*VLOOKUP($B$152,Other_regional_data,8,FALSE)*Other_F_local</f>
        <v>0</v>
      </c>
      <c r="F161" s="47">
        <f>'Intermediate calcs'!J18*VLOOKUP($B$152,Other_regional_data,3,FALSE)*VLOOKUP(IF(ISBLANK($A161),$B161,$A161),Radionuclide_specific,8,FALSE)*VLOOKUP($B$152,Other_regional_data,9,FALSE)*Other_F_local</f>
        <v>3.1338949014859314E-13</v>
      </c>
      <c r="G161" s="46">
        <f t="shared" si="135"/>
        <v>0</v>
      </c>
      <c r="H161" s="46">
        <f t="shared" si="136"/>
        <v>3.9035555157959743E-13</v>
      </c>
      <c r="I161" s="47">
        <f>'Intermediate calcs'!E18*VLOOKUP(IF(ISBLANK($A161),$B161,$A161),Radionuclide_specific,8,FALSE)*VLOOKUP($B$152,Other_regional_data,4,FALSE)*Other_F_local</f>
        <v>1.5462765957446806E-11</v>
      </c>
      <c r="J161" s="47">
        <f>'Intermediate calcs'!F18*VLOOKUP(IF(ISBLANK($A161),$B161,$A161),Radionuclide_specific,8,FALSE)*VLOOKUP($B$152,Other_regional_data,4,FALSE)*Other_F_local</f>
        <v>1.2639130434782609E-14</v>
      </c>
      <c r="K161" s="46">
        <f t="shared" si="134"/>
        <v>9.1800000000000009E-11</v>
      </c>
      <c r="L161" s="46">
        <f t="shared" si="134"/>
        <v>9.1800000000000013E-13</v>
      </c>
      <c r="M161" s="47">
        <f t="shared" si="134"/>
        <v>1.162512E-8</v>
      </c>
      <c r="N161" s="47">
        <f t="shared" si="134"/>
        <v>9.4888800000000007E-12</v>
      </c>
      <c r="O161" s="46">
        <f t="shared" si="137"/>
        <v>1.1732382765957446E-8</v>
      </c>
      <c r="P161" s="46">
        <f t="shared" si="138"/>
        <v>1.0809874682014381E-11</v>
      </c>
    </row>
    <row r="162" spans="1:16">
      <c r="A162" s="4" t="s">
        <v>178</v>
      </c>
      <c r="B162" s="4"/>
      <c r="C162" s="46">
        <f>'Intermediate calcs'!G19*VLOOKUP($B$152,Other_regional_data,2,FALSE)*VLOOKUP(IF(ISBLANK($A162),$B162,$A162),Radionuclide_specific,8,FALSE)*VLOOKUP($B$152,Other_regional_data,8,FALSE)*Other_F_local</f>
        <v>0</v>
      </c>
      <c r="D162" s="46">
        <f>'Intermediate calcs'!H19*VLOOKUP($B$152,Other_regional_data,2,FALSE)*VLOOKUP(IF(ISBLANK($A162),$B162,$A162),Radionuclide_specific,8,FALSE)*VLOOKUP($B$152,Other_regional_data,9,FALSE)*Other_F_local</f>
        <v>1.5075011865745269E-13</v>
      </c>
      <c r="E162" s="47">
        <f>'Intermediate calcs'!I19*VLOOKUP($B$152,Other_regional_data,3,FALSE)*VLOOKUP(IF(ISBLANK($A162),$B162,$A162),Radionuclide_specific,8,FALSE)*VLOOKUP($B$152,Other_regional_data,8,FALSE)*Other_F_local</f>
        <v>0</v>
      </c>
      <c r="F162" s="47">
        <f>'Intermediate calcs'!J19*VLOOKUP($B$152,Other_regional_data,3,FALSE)*VLOOKUP(IF(ISBLANK($A162),$B162,$A162),Radionuclide_specific,8,FALSE)*VLOOKUP($B$152,Other_regional_data,9,FALSE)*Other_F_local</f>
        <v>5.3559538209761549E-13</v>
      </c>
      <c r="G162" s="46">
        <f t="shared" ref="G162" si="143">C162+E162</f>
        <v>0</v>
      </c>
      <c r="H162" s="46">
        <f t="shared" ref="H162" si="144">D162+F162</f>
        <v>6.863455007550682E-13</v>
      </c>
      <c r="I162" s="47">
        <f>'Intermediate calcs'!E19*VLOOKUP(IF(ISBLANK($A162),$B162,$A162),Radionuclide_specific,8,FALSE)*VLOOKUP($B$152,Other_regional_data,4,FALSE)*Other_F_local</f>
        <v>1.4769801980198021E-9</v>
      </c>
      <c r="J162" s="47">
        <f>'Intermediate calcs'!F19*VLOOKUP(IF(ISBLANK($A162),$B162,$A162),Radionuclide_specific,8,FALSE)*VLOOKUP($B$152,Other_regional_data,4,FALSE)*Other_F_local</f>
        <v>1.1934000000000001E-11</v>
      </c>
      <c r="K162" s="46">
        <f t="shared" si="134"/>
        <v>1.0530000000000001E-10</v>
      </c>
      <c r="L162" s="46">
        <f t="shared" si="134"/>
        <v>1.0530000000000001E-12</v>
      </c>
      <c r="M162" s="47">
        <f t="shared" si="134"/>
        <v>5.7726864000000016E-11</v>
      </c>
      <c r="N162" s="47">
        <f t="shared" si="134"/>
        <v>4.6625544000000009E-13</v>
      </c>
      <c r="O162" s="46">
        <f t="shared" ref="O162" si="145">G162+I162+K162+M162</f>
        <v>1.6400070620198021E-9</v>
      </c>
      <c r="P162" s="46">
        <f t="shared" ref="P162" si="146">H162+J162+L162+N162</f>
        <v>1.4139600940755071E-11</v>
      </c>
    </row>
    <row r="163" spans="1:16">
      <c r="A163" s="4" t="s">
        <v>17</v>
      </c>
      <c r="B163" s="4"/>
      <c r="C163" s="46">
        <f>'Intermediate calcs'!G20*VLOOKUP($B$152,Other_regional_data,2,FALSE)*VLOOKUP(IF(ISBLANK($A163),$B163,$A163),Radionuclide_specific,8,FALSE)*VLOOKUP($B$152,Other_regional_data,8,FALSE)*Other_F_local</f>
        <v>0</v>
      </c>
      <c r="D163" s="46">
        <f>'Intermediate calcs'!H20*VLOOKUP($B$152,Other_regional_data,2,FALSE)*VLOOKUP(IF(ISBLANK($A163),$B163,$A163),Radionuclide_specific,8,FALSE)*VLOOKUP($B$152,Other_regional_data,9,FALSE)*Other_F_local</f>
        <v>4.2395400985801816E-12</v>
      </c>
      <c r="E163" s="47">
        <f>'Intermediate calcs'!I20*VLOOKUP($B$152,Other_regional_data,3,FALSE)*VLOOKUP(IF(ISBLANK($A163),$B163,$A163),Radionuclide_specific,8,FALSE)*VLOOKUP($B$152,Other_regional_data,8,FALSE)*Other_F_local</f>
        <v>0</v>
      </c>
      <c r="F163" s="47">
        <f>'Intermediate calcs'!J20*VLOOKUP($B$152,Other_regional_data,3,FALSE)*VLOOKUP(IF(ISBLANK($A163),$B163,$A163),Radionuclide_specific,8,FALSE)*VLOOKUP($B$152,Other_regional_data,9,FALSE)*Other_F_local</f>
        <v>1.2557849684201423E-11</v>
      </c>
      <c r="G163" s="46">
        <f t="shared" si="135"/>
        <v>0</v>
      </c>
      <c r="H163" s="46">
        <f t="shared" si="136"/>
        <v>1.6797389782781604E-11</v>
      </c>
      <c r="I163" s="47">
        <f>'Intermediate calcs'!E20*VLOOKUP(IF(ISBLANK($A163),$B163,$A163),Radionuclide_specific,8,FALSE)*VLOOKUP($B$152,Other_regional_data,4,FALSE)*Other_F_local</f>
        <v>8.9208984374999988E-12</v>
      </c>
      <c r="J163" s="47">
        <f>'Intermediate calcs'!F20*VLOOKUP(IF(ISBLANK($A163),$B163,$A163),Radionuclide_specific,8,FALSE)*VLOOKUP($B$152,Other_regional_data,4,FALSE)*Other_F_local</f>
        <v>5.7093749999999993E-14</v>
      </c>
      <c r="K163" s="46">
        <f t="shared" si="134"/>
        <v>1.1340000000000002E-9</v>
      </c>
      <c r="L163" s="46">
        <f t="shared" si="134"/>
        <v>1.1340000000000001E-11</v>
      </c>
      <c r="M163" s="47">
        <f t="shared" si="134"/>
        <v>4.1446080000000009E-13</v>
      </c>
      <c r="N163" s="47">
        <f t="shared" si="134"/>
        <v>2.6532576000000005E-15</v>
      </c>
      <c r="O163" s="46">
        <f t="shared" si="137"/>
        <v>1.1433353592375003E-9</v>
      </c>
      <c r="P163" s="46">
        <f t="shared" si="138"/>
        <v>2.8197136790381604E-11</v>
      </c>
    </row>
    <row r="164" spans="1:16">
      <c r="A164" s="4"/>
      <c r="B164" s="4" t="s">
        <v>105</v>
      </c>
      <c r="C164" s="46">
        <f>'Intermediate calcs'!G21*VLOOKUP($B$152,Other_regional_data,2,FALSE)*VLOOKUP(IF(ISBLANK($A164),$B164,$A164),Radionuclide_specific,8,FALSE)*VLOOKUP($B$152,Other_regional_data,8,FALSE)*Other_F_local</f>
        <v>0</v>
      </c>
      <c r="D164" s="46">
        <f>'Intermediate calcs'!H21*VLOOKUP($B$152,Other_regional_data,2,FALSE)*VLOOKUP(IF(ISBLANK($A164),$B164,$A164),Radionuclide_specific,8,FALSE)*VLOOKUP($B$152,Other_regional_data,9,FALSE)*Other_F_local</f>
        <v>0</v>
      </c>
      <c r="E164" s="47">
        <f>'Intermediate calcs'!I21*VLOOKUP($B$152,Other_regional_data,3,FALSE)*VLOOKUP(IF(ISBLANK($A164),$B164,$A164),Radionuclide_specific,8,FALSE)*VLOOKUP($B$152,Other_regional_data,8,FALSE)*Other_F_local</f>
        <v>0</v>
      </c>
      <c r="F164" s="47">
        <f>'Intermediate calcs'!J21*VLOOKUP($B$152,Other_regional_data,3,FALSE)*VLOOKUP(IF(ISBLANK($A164),$B164,$A164),Radionuclide_specific,8,FALSE)*VLOOKUP($B$152,Other_regional_data,9,FALSE)*Other_F_local</f>
        <v>0</v>
      </c>
      <c r="G164" s="46">
        <f t="shared" si="135"/>
        <v>0</v>
      </c>
      <c r="H164" s="46">
        <f t="shared" si="136"/>
        <v>0</v>
      </c>
      <c r="I164" s="47">
        <f>'Intermediate calcs'!E21*VLOOKUP(IF(ISBLANK($A164),$B164,$A164),Radionuclide_specific,8,FALSE)*VLOOKUP($B$152,Other_regional_data,4,FALSE)*Other_F_local</f>
        <v>0</v>
      </c>
      <c r="J164" s="47">
        <f>'Intermediate calcs'!F21*VLOOKUP(IF(ISBLANK($A164),$B164,$A164),Radionuclide_specific,8,FALSE)*VLOOKUP($B$152,Other_regional_data,4,FALSE)*Other_F_local</f>
        <v>0</v>
      </c>
      <c r="K164" s="46">
        <f t="shared" si="134"/>
        <v>0</v>
      </c>
      <c r="L164" s="46">
        <f t="shared" si="134"/>
        <v>0</v>
      </c>
      <c r="M164" s="47">
        <f t="shared" si="134"/>
        <v>2.7799200000000001E-11</v>
      </c>
      <c r="N164" s="47">
        <f t="shared" si="134"/>
        <v>1.7796240000000005E-13</v>
      </c>
      <c r="O164" s="46">
        <f t="shared" si="137"/>
        <v>2.7799200000000001E-11</v>
      </c>
      <c r="P164" s="46">
        <f t="shared" si="138"/>
        <v>1.7796240000000005E-13</v>
      </c>
    </row>
    <row r="165" spans="1:16">
      <c r="A165" s="4" t="s">
        <v>66</v>
      </c>
      <c r="B165" s="4"/>
      <c r="C165" s="46">
        <f>'Intermediate calcs'!G22*VLOOKUP($B$152,Other_regional_data,2,FALSE)*VLOOKUP(IF(ISBLANK($A165),$B165,$A165),Radionuclide_specific,8,FALSE)*VLOOKUP($B$152,Other_regional_data,8,FALSE)*Other_F_local</f>
        <v>0</v>
      </c>
      <c r="D165" s="46">
        <f>'Intermediate calcs'!H22*VLOOKUP($B$152,Other_regional_data,2,FALSE)*VLOOKUP(IF(ISBLANK($A165),$B165,$A165),Radionuclide_specific,8,FALSE)*VLOOKUP($B$152,Other_regional_data,9,FALSE)*Other_F_local</f>
        <v>1.4620134754624178E-14</v>
      </c>
      <c r="E165" s="47">
        <f>'Intermediate calcs'!I22*VLOOKUP($B$152,Other_regional_data,3,FALSE)*VLOOKUP(IF(ISBLANK($A165),$B165,$A165),Radionuclide_specific,8,FALSE)*VLOOKUP($B$152,Other_regional_data,8,FALSE)*Other_F_local</f>
        <v>0</v>
      </c>
      <c r="F165" s="47">
        <f>'Intermediate calcs'!J22*VLOOKUP($B$152,Other_regional_data,3,FALSE)*VLOOKUP(IF(ISBLANK($A165),$B165,$A165),Radionuclide_specific,8,FALSE)*VLOOKUP($B$152,Other_regional_data,9,FALSE)*Other_F_local</f>
        <v>4.5035047143343036E-13</v>
      </c>
      <c r="G165" s="46">
        <f t="shared" si="135"/>
        <v>0</v>
      </c>
      <c r="H165" s="46">
        <f t="shared" si="136"/>
        <v>4.6497060618805459E-13</v>
      </c>
      <c r="I165" s="47">
        <f>'Intermediate calcs'!E22*VLOOKUP(IF(ISBLANK($A165),$B165,$A165),Radionuclide_specific,8,FALSE)*VLOOKUP($B$152,Other_regional_data,4,FALSE)*Other_F_local</f>
        <v>2.6410060975609755E-11</v>
      </c>
      <c r="J165" s="47">
        <f>'Intermediate calcs'!F22*VLOOKUP(IF(ISBLANK($A165),$B165,$A165),Radionuclide_specific,8,FALSE)*VLOOKUP($B$152,Other_regional_data,4,FALSE)*Other_F_local</f>
        <v>2.547794117647059E-14</v>
      </c>
      <c r="K165" s="46">
        <f t="shared" si="134"/>
        <v>1.8900000000000002E-10</v>
      </c>
      <c r="L165" s="46">
        <f t="shared" si="134"/>
        <v>1.8900000000000002E-12</v>
      </c>
      <c r="M165" s="47">
        <f t="shared" si="134"/>
        <v>0</v>
      </c>
      <c r="N165" s="47">
        <f t="shared" si="134"/>
        <v>0</v>
      </c>
      <c r="O165" s="46">
        <f t="shared" si="137"/>
        <v>2.1541006097560976E-10</v>
      </c>
      <c r="P165" s="46">
        <f t="shared" si="138"/>
        <v>2.3804485473645254E-12</v>
      </c>
    </row>
    <row r="166" spans="1:16">
      <c r="A166" s="4"/>
      <c r="B166" s="4" t="s">
        <v>106</v>
      </c>
      <c r="C166" s="46">
        <f>'Intermediate calcs'!G23*VLOOKUP($B$152,Other_regional_data,2,FALSE)*VLOOKUP(IF(ISBLANK($A166),$B166,$A166),Radionuclide_specific,8,FALSE)*VLOOKUP($B$152,Other_regional_data,8,FALSE)*Other_F_local</f>
        <v>0</v>
      </c>
      <c r="D166" s="46">
        <f>'Intermediate calcs'!H23*VLOOKUP($B$152,Other_regional_data,2,FALSE)*VLOOKUP(IF(ISBLANK($A166),$B166,$A166),Radionuclide_specific,8,FALSE)*VLOOKUP($B$152,Other_regional_data,9,FALSE)*Other_F_local</f>
        <v>0</v>
      </c>
      <c r="E166" s="47">
        <f>'Intermediate calcs'!I23*VLOOKUP($B$152,Other_regional_data,3,FALSE)*VLOOKUP(IF(ISBLANK($A166),$B166,$A166),Radionuclide_specific,8,FALSE)*VLOOKUP($B$152,Other_regional_data,8,FALSE)*Other_F_local</f>
        <v>0</v>
      </c>
      <c r="F166" s="47">
        <f>'Intermediate calcs'!J23*VLOOKUP($B$152,Other_regional_data,3,FALSE)*VLOOKUP(IF(ISBLANK($A166),$B166,$A166),Radionuclide_specific,8,FALSE)*VLOOKUP($B$152,Other_regional_data,9,FALSE)*Other_F_local</f>
        <v>0</v>
      </c>
      <c r="G166" s="46">
        <f t="shared" si="135"/>
        <v>0</v>
      </c>
      <c r="H166" s="46">
        <f t="shared" si="136"/>
        <v>0</v>
      </c>
      <c r="I166" s="47">
        <f>'Intermediate calcs'!E23*VLOOKUP(IF(ISBLANK($A166),$B166,$A166),Radionuclide_specific,8,FALSE)*VLOOKUP($B$152,Other_regional_data,4,FALSE)*Other_F_local</f>
        <v>0</v>
      </c>
      <c r="J166" s="47">
        <f>'Intermediate calcs'!F23*VLOOKUP(IF(ISBLANK($A166),$B166,$A166),Radionuclide_specific,8,FALSE)*VLOOKUP($B$152,Other_regional_data,4,FALSE)*Other_F_local</f>
        <v>0</v>
      </c>
      <c r="K166" s="46">
        <f t="shared" si="134"/>
        <v>0</v>
      </c>
      <c r="L166" s="46">
        <f t="shared" si="134"/>
        <v>0</v>
      </c>
      <c r="M166" s="47">
        <f t="shared" si="134"/>
        <v>1.45314E-9</v>
      </c>
      <c r="N166" s="47">
        <f t="shared" si="134"/>
        <v>1.4009760000000001E-12</v>
      </c>
      <c r="O166" s="46">
        <f t="shared" si="137"/>
        <v>1.45314E-9</v>
      </c>
      <c r="P166" s="46">
        <f t="shared" si="138"/>
        <v>1.4009760000000001E-12</v>
      </c>
    </row>
    <row r="167" spans="1:16">
      <c r="A167" s="4" t="s">
        <v>67</v>
      </c>
      <c r="B167" s="4"/>
      <c r="C167" s="46">
        <f>'Intermediate calcs'!G24*VLOOKUP($B$152,Other_regional_data,2,FALSE)*VLOOKUP(IF(ISBLANK($A167),$B167,$A167),Radionuclide_specific,8,FALSE)*VLOOKUP($B$152,Other_regional_data,8,FALSE)*Other_F_local</f>
        <v>0</v>
      </c>
      <c r="D167" s="46">
        <f>'Intermediate calcs'!H24*VLOOKUP($B$152,Other_regional_data,2,FALSE)*VLOOKUP(IF(ISBLANK($A167),$B167,$A167),Radionuclide_specific,8,FALSE)*VLOOKUP($B$152,Other_regional_data,9,FALSE)*Other_F_local</f>
        <v>1.4165257643503094E-11</v>
      </c>
      <c r="E167" s="47">
        <f>'Intermediate calcs'!I24*VLOOKUP($B$152,Other_regional_data,3,FALSE)*VLOOKUP(IF(ISBLANK($A167),$B167,$A167),Radionuclide_specific,8,FALSE)*VLOOKUP($B$152,Other_regional_data,8,FALSE)*Other_F_local</f>
        <v>0</v>
      </c>
      <c r="F167" s="47">
        <f>'Intermediate calcs'!J24*VLOOKUP($B$152,Other_regional_data,3,FALSE)*VLOOKUP(IF(ISBLANK($A167),$B167,$A167),Radionuclide_specific,8,FALSE)*VLOOKUP($B$152,Other_regional_data,9,FALSE)*Other_F_local</f>
        <v>1.571896357022454E-11</v>
      </c>
      <c r="G167" s="46">
        <f t="shared" si="135"/>
        <v>0</v>
      </c>
      <c r="H167" s="46">
        <f t="shared" si="136"/>
        <v>2.9884221213727636E-11</v>
      </c>
      <c r="I167" s="47">
        <f>'Intermediate calcs'!E24*VLOOKUP(IF(ISBLANK($A167),$B167,$A167),Radionuclide_specific,8,FALSE)*VLOOKUP($B$152,Other_regional_data,4,FALSE)*Other_F_local</f>
        <v>3.4122242647058825E-10</v>
      </c>
      <c r="J167" s="47">
        <f>'Intermediate calcs'!F24*VLOOKUP(IF(ISBLANK($A167),$B167,$A167),Radionuclide_specific,8,FALSE)*VLOOKUP($B$152,Other_regional_data,4,FALSE)*Other_F_local</f>
        <v>1.1601562499999998E-12</v>
      </c>
      <c r="K167" s="46">
        <f t="shared" si="134"/>
        <v>4.4550000000000008E-9</v>
      </c>
      <c r="L167" s="46">
        <f t="shared" si="134"/>
        <v>4.4550000000000004E-11</v>
      </c>
      <c r="M167" s="47">
        <f t="shared" si="134"/>
        <v>1.7016480000000003E-11</v>
      </c>
      <c r="N167" s="47">
        <f t="shared" si="134"/>
        <v>5.7704399999999999E-14</v>
      </c>
      <c r="O167" s="46">
        <f t="shared" si="137"/>
        <v>4.8132389064705888E-9</v>
      </c>
      <c r="P167" s="46">
        <f t="shared" si="138"/>
        <v>7.5652081863727647E-11</v>
      </c>
    </row>
    <row r="168" spans="1:16">
      <c r="A168" s="4" t="s">
        <v>239</v>
      </c>
      <c r="B168" s="4"/>
      <c r="C168" s="46">
        <f>'Intermediate calcs'!G25*VLOOKUP($B$152,Other_regional_data,2,FALSE)*VLOOKUP(IF(ISBLANK($A168),$B168,$A168),Radionuclide_specific,8,FALSE)*VLOOKUP($B$152,Other_regional_data,8,FALSE)*Other_F_local</f>
        <v>0</v>
      </c>
      <c r="D168" s="46">
        <f>'Intermediate calcs'!H25*VLOOKUP($B$152,Other_regional_data,2,FALSE)*VLOOKUP(IF(ISBLANK($A168),$B168,$A168),Radionuclide_specific,8,FALSE)*VLOOKUP($B$152,Other_regional_data,9,FALSE)*Other_F_local</f>
        <v>1.8024238581511551E-14</v>
      </c>
      <c r="E168" s="47">
        <f>'Intermediate calcs'!I25*VLOOKUP($B$152,Other_regional_data,3,FALSE)*VLOOKUP(IF(ISBLANK($A168),$B168,$A168),Radionuclide_specific,8,FALSE)*VLOOKUP($B$152,Other_regional_data,8,FALSE)*Other_F_local</f>
        <v>0</v>
      </c>
      <c r="F168" s="47">
        <f>'Intermediate calcs'!J25*VLOOKUP($B$152,Other_regional_data,3,FALSE)*VLOOKUP(IF(ISBLANK($A168),$B168,$A168),Radionuclide_specific,8,FALSE)*VLOOKUP($B$152,Other_regional_data,9,FALSE)*Other_F_local</f>
        <v>5.097373467872893E-14</v>
      </c>
      <c r="G168" s="46">
        <f t="shared" ref="G168" si="147">C168+E168</f>
        <v>0</v>
      </c>
      <c r="H168" s="46">
        <f t="shared" ref="H168" si="148">D168+F168</f>
        <v>6.8997973260240481E-14</v>
      </c>
      <c r="I168" s="47">
        <f>'Intermediate calcs'!E25*VLOOKUP(IF(ISBLANK($A168),$B168,$A168),Radionuclide_specific,8,FALSE)*VLOOKUP($B$152,Other_regional_data,4,FALSE)*Other_F_local</f>
        <v>6.2040441176470601E-12</v>
      </c>
      <c r="J168" s="47">
        <f>'Intermediate calcs'!F25*VLOOKUP(IF(ISBLANK($A168),$B168,$A168),Radionuclide_specific,8,FALSE)*VLOOKUP($B$152,Other_regional_data,4,FALSE)*Other_F_local</f>
        <v>2.1093749999999998E-14</v>
      </c>
      <c r="K168" s="46">
        <f t="shared" si="134"/>
        <v>8.1000000000000018E-11</v>
      </c>
      <c r="L168" s="46">
        <f t="shared" si="134"/>
        <v>8.1000000000000018E-13</v>
      </c>
      <c r="M168" s="47">
        <f t="shared" si="134"/>
        <v>3.1292352000000006E-10</v>
      </c>
      <c r="N168" s="47">
        <f t="shared" si="134"/>
        <v>1.0771488E-12</v>
      </c>
      <c r="O168" s="46">
        <f t="shared" ref="O168" si="149">G168+I168+K168+M168</f>
        <v>4.0012756411764711E-10</v>
      </c>
      <c r="P168" s="46">
        <f t="shared" ref="P168" si="150">H168+J168+L168+N168</f>
        <v>1.9772405232602405E-12</v>
      </c>
    </row>
    <row r="169" spans="1:16">
      <c r="A169" s="4" t="s">
        <v>177</v>
      </c>
      <c r="B169" s="4"/>
      <c r="C169" s="46">
        <f>'Intermediate calcs'!G26*VLOOKUP($B$152,Other_regional_data,2,FALSE)*VLOOKUP(IF(ISBLANK($A169),$B169,$A169),Radionuclide_specific,8,FALSE)*VLOOKUP($B$152,Other_regional_data,8,FALSE)*Other_F_local</f>
        <v>0</v>
      </c>
      <c r="D169" s="46">
        <f>'Intermediate calcs'!H26*VLOOKUP($B$152,Other_regional_data,2,FALSE)*VLOOKUP(IF(ISBLANK($A169),$B169,$A169),Radionuclide_specific,8,FALSE)*VLOOKUP($B$152,Other_regional_data,9,FALSE)*Other_F_local</f>
        <v>1.9922763237786876E-12</v>
      </c>
      <c r="E169" s="47">
        <f>'Intermediate calcs'!I26*VLOOKUP($B$152,Other_regional_data,3,FALSE)*VLOOKUP(IF(ISBLANK($A169),$B169,$A169),Radionuclide_specific,8,FALSE)*VLOOKUP($B$152,Other_regional_data,8,FALSE)*Other_F_local</f>
        <v>0</v>
      </c>
      <c r="F169" s="47">
        <f>'Intermediate calcs'!J26*VLOOKUP($B$152,Other_regional_data,3,FALSE)*VLOOKUP(IF(ISBLANK($A169),$B169,$A169),Radionuclide_specific,8,FALSE)*VLOOKUP($B$152,Other_regional_data,9,FALSE)*Other_F_local</f>
        <v>1.6102503806884881E-12</v>
      </c>
      <c r="G169" s="46">
        <f t="shared" ref="G169" si="151">C169+E169</f>
        <v>0</v>
      </c>
      <c r="H169" s="46">
        <f t="shared" ref="H169" si="152">D169+F169</f>
        <v>3.6025267044671757E-12</v>
      </c>
      <c r="I169" s="47">
        <f>'Intermediate calcs'!E26*VLOOKUP(IF(ISBLANK($A169),$B169,$A169),Radionuclide_specific,8,FALSE)*VLOOKUP($B$152,Other_regional_data,4,FALSE)*Other_F_local</f>
        <v>3.3821202531645577E-9</v>
      </c>
      <c r="J169" s="47">
        <f>'Intermediate calcs'!F26*VLOOKUP(IF(ISBLANK($A169),$B169,$A169),Radionuclide_specific,8,FALSE)*VLOOKUP($B$152,Other_regional_data,4,FALSE)*Other_F_local</f>
        <v>3.4475806451612908E-12</v>
      </c>
      <c r="K169" s="46">
        <f t="shared" si="134"/>
        <v>7.6950000000000008E-10</v>
      </c>
      <c r="L169" s="46">
        <f t="shared" si="134"/>
        <v>7.6950000000000006E-12</v>
      </c>
      <c r="M169" s="47">
        <f t="shared" si="134"/>
        <v>5.8501440000000015E-9</v>
      </c>
      <c r="N169" s="47">
        <f t="shared" si="134"/>
        <v>5.9780160000000001E-12</v>
      </c>
      <c r="O169" s="46">
        <f t="shared" ref="O169" si="153">G169+I169+K169+M169</f>
        <v>1.0001764253164559E-8</v>
      </c>
      <c r="P169" s="46">
        <f t="shared" ref="P169" si="154">H169+J169+L169+N169</f>
        <v>2.0723123349628469E-11</v>
      </c>
    </row>
    <row r="170" spans="1:16">
      <c r="A170" s="4" t="s">
        <v>12</v>
      </c>
      <c r="B170" s="4"/>
      <c r="C170" s="46">
        <f>'Intermediate calcs'!G27*VLOOKUP($B$152,Other_regional_data,2,FALSE)*VLOOKUP(IF(ISBLANK($A170),$B170,$A170),Radionuclide_specific,8,FALSE)*VLOOKUP($B$152,Other_regional_data,8,FALSE)*Other_F_local</f>
        <v>0</v>
      </c>
      <c r="D170" s="46">
        <f>'Intermediate calcs'!H27*VLOOKUP($B$152,Other_regional_data,2,FALSE)*VLOOKUP(IF(ISBLANK($A170),$B170,$A170),Radionuclide_specific,8,FALSE)*VLOOKUP($B$152,Other_regional_data,9,FALSE)*Other_F_local</f>
        <v>1.635208469415094E-12</v>
      </c>
      <c r="E170" s="47">
        <f>'Intermediate calcs'!I27*VLOOKUP($B$152,Other_regional_data,3,FALSE)*VLOOKUP(IF(ISBLANK($A170),$B170,$A170),Radionuclide_specific,8,FALSE)*VLOOKUP($B$152,Other_regional_data,8,FALSE)*Other_F_local</f>
        <v>0</v>
      </c>
      <c r="F170" s="47">
        <f>'Intermediate calcs'!J27*VLOOKUP($B$152,Other_regional_data,3,FALSE)*VLOOKUP(IF(ISBLANK($A170),$B170,$A170),Radionuclide_specific,8,FALSE)*VLOOKUP($B$152,Other_regional_data,9,FALSE)*Other_F_local</f>
        <v>1.7611920222128792E-12</v>
      </c>
      <c r="G170" s="46">
        <f t="shared" si="135"/>
        <v>0</v>
      </c>
      <c r="H170" s="46">
        <f t="shared" si="136"/>
        <v>3.3964004916279732E-12</v>
      </c>
      <c r="I170" s="47">
        <f>'Intermediate calcs'!E27*VLOOKUP(IF(ISBLANK($A170),$B170,$A170),Radionuclide_specific,8,FALSE)*VLOOKUP($B$152,Other_regional_data,4,FALSE)*Other_F_local</f>
        <v>2.3140822784810128E-9</v>
      </c>
      <c r="J170" s="47">
        <f>'Intermediate calcs'!F27*VLOOKUP(IF(ISBLANK($A170),$B170,$A170),Radionuclide_specific,8,FALSE)*VLOOKUP($B$152,Other_regional_data,4,FALSE)*Other_F_local</f>
        <v>2.3588709677419358E-12</v>
      </c>
      <c r="K170" s="46">
        <f t="shared" si="134"/>
        <v>5.2650000000000009E-10</v>
      </c>
      <c r="L170" s="46">
        <f t="shared" si="134"/>
        <v>5.2650000000000007E-12</v>
      </c>
      <c r="M170" s="47">
        <f t="shared" si="134"/>
        <v>1.1818871999999999E-11</v>
      </c>
      <c r="N170" s="47">
        <f t="shared" si="134"/>
        <v>1.2077207999999998E-14</v>
      </c>
      <c r="O170" s="46">
        <f t="shared" si="137"/>
        <v>2.8524011504810131E-9</v>
      </c>
      <c r="P170" s="46">
        <f t="shared" si="138"/>
        <v>1.1032348667369909E-11</v>
      </c>
    </row>
    <row r="171" spans="1:16">
      <c r="A171" s="4"/>
      <c r="B171" s="4" t="s">
        <v>107</v>
      </c>
      <c r="C171" s="46">
        <f>'Intermediate calcs'!G28*VLOOKUP($B$152,Other_regional_data,2,FALSE)*VLOOKUP(IF(ISBLANK($A171),$B171,$A171),Radionuclide_specific,8,FALSE)*VLOOKUP($B$152,Other_regional_data,8,FALSE)*Other_F_local</f>
        <v>0</v>
      </c>
      <c r="D171" s="46">
        <f>'Intermediate calcs'!H28*VLOOKUP($B$152,Other_regional_data,2,FALSE)*VLOOKUP(IF(ISBLANK($A171),$B171,$A171),Radionuclide_specific,8,FALSE)*VLOOKUP($B$152,Other_regional_data,9,FALSE)*Other_F_local</f>
        <v>0</v>
      </c>
      <c r="E171" s="47">
        <f>'Intermediate calcs'!I28*VLOOKUP($B$152,Other_regional_data,3,FALSE)*VLOOKUP(IF(ISBLANK($A171),$B171,$A171),Radionuclide_specific,8,FALSE)*VLOOKUP($B$152,Other_regional_data,8,FALSE)*Other_F_local</f>
        <v>0</v>
      </c>
      <c r="F171" s="47">
        <f>'Intermediate calcs'!J28*VLOOKUP($B$152,Other_regional_data,3,FALSE)*VLOOKUP(IF(ISBLANK($A171),$B171,$A171),Radionuclide_specific,8,FALSE)*VLOOKUP($B$152,Other_regional_data,9,FALSE)*Other_F_local</f>
        <v>0</v>
      </c>
      <c r="G171" s="46">
        <f t="shared" si="135"/>
        <v>0</v>
      </c>
      <c r="H171" s="46">
        <f t="shared" si="136"/>
        <v>0</v>
      </c>
      <c r="I171" s="47">
        <f>'Intermediate calcs'!E28*VLOOKUP(IF(ISBLANK($A171),$B171,$A171),Radionuclide_specific,8,FALSE)*VLOOKUP($B$152,Other_regional_data,4,FALSE)*Other_F_local</f>
        <v>0</v>
      </c>
      <c r="J171" s="47">
        <f>'Intermediate calcs'!F28*VLOOKUP(IF(ISBLANK($A171),$B171,$A171),Radionuclide_specific,8,FALSE)*VLOOKUP($B$152,Other_regional_data,4,FALSE)*Other_F_local</f>
        <v>0</v>
      </c>
      <c r="K171" s="46">
        <f t="shared" si="134"/>
        <v>0</v>
      </c>
      <c r="L171" s="46">
        <f t="shared" si="134"/>
        <v>0</v>
      </c>
      <c r="M171" s="47">
        <f t="shared" si="134"/>
        <v>2.1650829552E-9</v>
      </c>
      <c r="N171" s="47">
        <f t="shared" si="134"/>
        <v>2.2124071728000003E-12</v>
      </c>
      <c r="O171" s="46">
        <f t="shared" si="137"/>
        <v>2.1650829552E-9</v>
      </c>
      <c r="P171" s="46">
        <f t="shared" si="138"/>
        <v>2.2124071728000003E-12</v>
      </c>
    </row>
    <row r="172" spans="1:16">
      <c r="A172" s="4" t="s">
        <v>22</v>
      </c>
      <c r="B172" s="4"/>
      <c r="C172" s="46">
        <f>'Intermediate calcs'!G29*VLOOKUP($B$152,Other_regional_data,2,FALSE)*VLOOKUP(IF(ISBLANK($A172),$B172,$A172),Radionuclide_specific,8,FALSE)*VLOOKUP($B$152,Other_regional_data,8,FALSE)*Other_F_local</f>
        <v>0</v>
      </c>
      <c r="D172" s="46">
        <f>'Intermediate calcs'!H29*VLOOKUP($B$152,Other_regional_data,2,FALSE)*VLOOKUP(IF(ISBLANK($A172),$B172,$A172),Radionuclide_specific,8,FALSE)*VLOOKUP($B$152,Other_regional_data,9,FALSE)*Other_F_local</f>
        <v>6.0562722977853787E-12</v>
      </c>
      <c r="E172" s="47">
        <f>'Intermediate calcs'!I29*VLOOKUP($B$152,Other_regional_data,3,FALSE)*VLOOKUP(IF(ISBLANK($A172),$B172,$A172),Radionuclide_specific,8,FALSE)*VLOOKUP($B$152,Other_regional_data,8,FALSE)*Other_F_local</f>
        <v>0</v>
      </c>
      <c r="F172" s="47">
        <f>'Intermediate calcs'!J29*VLOOKUP($B$152,Other_regional_data,3,FALSE)*VLOOKUP(IF(ISBLANK($A172),$B172,$A172),Radionuclide_specific,8,FALSE)*VLOOKUP($B$152,Other_regional_data,9,FALSE)*Other_F_local</f>
        <v>5.9758043324820563E-11</v>
      </c>
      <c r="G172" s="46">
        <f t="shared" si="135"/>
        <v>0</v>
      </c>
      <c r="H172" s="46">
        <f t="shared" si="136"/>
        <v>6.5814315622605942E-11</v>
      </c>
      <c r="I172" s="47">
        <f>'Intermediate calcs'!E29*VLOOKUP(IF(ISBLANK($A172),$B172,$A172),Radionuclide_specific,8,FALSE)*VLOOKUP($B$152,Other_regional_data,4,FALSE)*Other_F_local</f>
        <v>1.6171874999999999E-9</v>
      </c>
      <c r="J172" s="47">
        <f>'Intermediate calcs'!F29*VLOOKUP(IF(ISBLANK($A172),$B172,$A172),Radionuclide_specific,8,FALSE)*VLOOKUP($B$152,Other_regional_data,4,FALSE)*Other_F_local</f>
        <v>3.2343749999999997E-12</v>
      </c>
      <c r="K172" s="46">
        <f t="shared" si="134"/>
        <v>1.8629999999999999E-8</v>
      </c>
      <c r="L172" s="46">
        <f t="shared" si="134"/>
        <v>1.8630000000000002E-10</v>
      </c>
      <c r="M172" s="47">
        <f t="shared" si="134"/>
        <v>3.8278655999999994E-12</v>
      </c>
      <c r="N172" s="47">
        <f t="shared" si="134"/>
        <v>7.6373279999999994E-15</v>
      </c>
      <c r="O172" s="46">
        <f t="shared" si="137"/>
        <v>2.0251015365599999E-8</v>
      </c>
      <c r="P172" s="46">
        <f t="shared" si="138"/>
        <v>2.5535632795060593E-10</v>
      </c>
    </row>
    <row r="173" spans="1:16">
      <c r="A173" s="4" t="s">
        <v>19</v>
      </c>
      <c r="B173" s="4"/>
      <c r="C173" s="46">
        <f>'Intermediate calcs'!G30*VLOOKUP($B$152,Other_regional_data,2,FALSE)*VLOOKUP(IF(ISBLANK($A173),$B173,$A173),Radionuclide_specific,8,FALSE)*VLOOKUP($B$152,Other_regional_data,8,FALSE)*Other_F_local</f>
        <v>0</v>
      </c>
      <c r="D173" s="46">
        <f>'Intermediate calcs'!H30*VLOOKUP($B$152,Other_regional_data,2,FALSE)*VLOOKUP(IF(ISBLANK($A173),$B173,$A173),Radionuclide_specific,8,FALSE)*VLOOKUP($B$152,Other_regional_data,9,FALSE)*Other_F_local</f>
        <v>1.265967847289105E-12</v>
      </c>
      <c r="E173" s="47">
        <f>'Intermediate calcs'!I30*VLOOKUP($B$152,Other_regional_data,3,FALSE)*VLOOKUP(IF(ISBLANK($A173),$B173,$A173),Radionuclide_specific,8,FALSE)*VLOOKUP($B$152,Other_regional_data,8,FALSE)*Other_F_local</f>
        <v>0</v>
      </c>
      <c r="F173" s="47">
        <f>'Intermediate calcs'!J30*VLOOKUP($B$152,Other_regional_data,3,FALSE)*VLOOKUP(IF(ISBLANK($A173),$B173,$A173),Radionuclide_specific,8,FALSE)*VLOOKUP($B$152,Other_regional_data,9,FALSE)*Other_F_local</f>
        <v>7.0596148076899821E-11</v>
      </c>
      <c r="G173" s="46">
        <f t="shared" si="135"/>
        <v>0</v>
      </c>
      <c r="H173" s="46">
        <f t="shared" si="136"/>
        <v>7.1862115924188927E-11</v>
      </c>
      <c r="I173" s="47">
        <f>'Intermediate calcs'!E30*VLOOKUP(IF(ISBLANK($A173),$B173,$A173),Radionuclide_specific,8,FALSE)*VLOOKUP($B$152,Other_regional_data,4,FALSE)*Other_F_local</f>
        <v>2.7000000000000002E-9</v>
      </c>
      <c r="J173" s="47">
        <f>'Intermediate calcs'!F30*VLOOKUP(IF(ISBLANK($A173),$B173,$A173),Radionuclide_specific,8,FALSE)*VLOOKUP($B$152,Other_regional_data,4,FALSE)*Other_F_local</f>
        <v>2.3142857142857143E-12</v>
      </c>
      <c r="K173" s="46">
        <f t="shared" si="134"/>
        <v>3.2399999999999999E-8</v>
      </c>
      <c r="L173" s="46">
        <f t="shared" si="134"/>
        <v>3.2400000000000002E-10</v>
      </c>
      <c r="M173" s="47">
        <f t="shared" si="134"/>
        <v>3.8793168000000015E-14</v>
      </c>
      <c r="N173" s="47">
        <f t="shared" si="134"/>
        <v>3.3201359999999998E-17</v>
      </c>
      <c r="O173" s="46">
        <f t="shared" si="137"/>
        <v>3.5100038793167993E-8</v>
      </c>
      <c r="P173" s="46">
        <f t="shared" si="138"/>
        <v>3.9817643483983468E-10</v>
      </c>
    </row>
    <row r="174" spans="1:16">
      <c r="A174" s="4" t="s">
        <v>14</v>
      </c>
      <c r="B174" s="4"/>
      <c r="C174" s="46">
        <f>'Intermediate calcs'!G31*VLOOKUP($B$152,Other_regional_data,2,FALSE)*VLOOKUP(IF(ISBLANK($A174),$B174,$A174),Radionuclide_specific,8,FALSE)*VLOOKUP($B$152,Other_regional_data,8,FALSE)*Other_F_local</f>
        <v>0</v>
      </c>
      <c r="D174" s="46">
        <f>'Intermediate calcs'!H31*VLOOKUP($B$152,Other_regional_data,2,FALSE)*VLOOKUP(IF(ISBLANK($A174),$B174,$A174),Radionuclide_specific,8,FALSE)*VLOOKUP($B$152,Other_regional_data,9,FALSE)*Other_F_local</f>
        <v>1.5726361719697991E-11</v>
      </c>
      <c r="E174" s="47">
        <f>'Intermediate calcs'!I31*VLOOKUP($B$152,Other_regional_data,3,FALSE)*VLOOKUP(IF(ISBLANK($A174),$B174,$A174),Radionuclide_specific,8,FALSE)*VLOOKUP($B$152,Other_regional_data,8,FALSE)*Other_F_local</f>
        <v>0</v>
      </c>
      <c r="F174" s="47">
        <f>'Intermediate calcs'!J31*VLOOKUP($B$152,Other_regional_data,3,FALSE)*VLOOKUP(IF(ISBLANK($A174),$B174,$A174),Radionuclide_specific,8,FALSE)*VLOOKUP($B$152,Other_regional_data,9,FALSE)*Other_F_local</f>
        <v>5.2656362813754944E-11</v>
      </c>
      <c r="G174" s="46">
        <f t="shared" si="135"/>
        <v>0</v>
      </c>
      <c r="H174" s="46">
        <f t="shared" si="136"/>
        <v>6.8382724533452935E-11</v>
      </c>
      <c r="I174" s="47">
        <f>'Intermediate calcs'!E31*VLOOKUP(IF(ISBLANK($A174),$B174,$A174),Radionuclide_specific,8,FALSE)*VLOOKUP($B$152,Other_regional_data,4,FALSE)*Other_F_local</f>
        <v>1.097560975609756E-10</v>
      </c>
      <c r="J174" s="47">
        <f>'Intermediate calcs'!F31*VLOOKUP(IF(ISBLANK($A174),$B174,$A174),Radionuclide_specific,8,FALSE)*VLOOKUP($B$152,Other_regional_data,4,FALSE)*Other_F_local</f>
        <v>2.6808510638297875E-13</v>
      </c>
      <c r="K174" s="46">
        <f t="shared" si="134"/>
        <v>7.5600000000000012E-9</v>
      </c>
      <c r="L174" s="46">
        <f t="shared" si="134"/>
        <v>7.5600000000000016E-11</v>
      </c>
      <c r="M174" s="47">
        <f t="shared" si="134"/>
        <v>8.4992544000000023E-12</v>
      </c>
      <c r="N174" s="47">
        <f t="shared" si="134"/>
        <v>2.0720232000000001E-14</v>
      </c>
      <c r="O174" s="46">
        <f t="shared" si="137"/>
        <v>7.6782553519609777E-9</v>
      </c>
      <c r="P174" s="46">
        <f t="shared" si="138"/>
        <v>1.4427152987183594E-10</v>
      </c>
    </row>
    <row r="175" spans="1:16">
      <c r="A175" s="4" t="s">
        <v>156</v>
      </c>
      <c r="B175" s="4"/>
      <c r="C175" s="46">
        <f>'Intermediate calcs'!G32*VLOOKUP($B$152,Other_regional_data,2,FALSE)*VLOOKUP(IF(ISBLANK($A175),$B175,$A175),Radionuclide_specific,8,FALSE)*VLOOKUP($B$152,Other_regional_data,8,FALSE)*Other_F_local</f>
        <v>0</v>
      </c>
      <c r="D175" s="46">
        <f>'Intermediate calcs'!H32*VLOOKUP($B$152,Other_regional_data,2,FALSE)*VLOOKUP(IF(ISBLANK($A175),$B175,$A175),Radionuclide_specific,8,FALSE)*VLOOKUP($B$152,Other_regional_data,9,FALSE)*Other_F_local</f>
        <v>3.5563702025818935E-13</v>
      </c>
      <c r="E175" s="47">
        <f>'Intermediate calcs'!I32*VLOOKUP($B$152,Other_regional_data,3,FALSE)*VLOOKUP(IF(ISBLANK($A175),$B175,$A175),Radionuclide_specific,8,FALSE)*VLOOKUP($B$152,Other_regional_data,8,FALSE)*Other_F_local</f>
        <v>0</v>
      </c>
      <c r="F175" s="47">
        <f>'Intermediate calcs'!J32*VLOOKUP($B$152,Other_regional_data,3,FALSE)*VLOOKUP(IF(ISBLANK($A175),$B175,$A175),Radionuclide_specific,8,FALSE)*VLOOKUP($B$152,Other_regional_data,9,FALSE)*Other_F_local</f>
        <v>1.3900240512512611E-11</v>
      </c>
      <c r="G175" s="46">
        <f t="shared" ref="G175" si="155">C175+E175</f>
        <v>0</v>
      </c>
      <c r="H175" s="46">
        <f t="shared" ref="H175" si="156">D175+F175</f>
        <v>1.42558775327708E-11</v>
      </c>
      <c r="I175" s="47">
        <f>'Intermediate calcs'!E32*VLOOKUP(IF(ISBLANK($A175),$B175,$A175),Radionuclide_specific,8,FALSE)*VLOOKUP($B$152,Other_regional_data,4,FALSE)*Other_F_local</f>
        <v>2.9531249999999998E-11</v>
      </c>
      <c r="J175" s="47">
        <f>'Intermediate calcs'!F32*VLOOKUP(IF(ISBLANK($A175),$B175,$A175),Radionuclide_specific,8,FALSE)*VLOOKUP($B$152,Other_regional_data,4,FALSE)*Other_F_local</f>
        <v>1.4765624999999999E-14</v>
      </c>
      <c r="K175" s="46">
        <f t="shared" ref="K175:N187" si="157">K138</f>
        <v>3.1500000000000005E-9</v>
      </c>
      <c r="L175" s="46">
        <f t="shared" si="157"/>
        <v>3.1500000000000001E-11</v>
      </c>
      <c r="M175" s="47">
        <f t="shared" si="157"/>
        <v>5.4348840000000003E-12</v>
      </c>
      <c r="N175" s="47">
        <f t="shared" si="157"/>
        <v>2.7243215999999998E-15</v>
      </c>
      <c r="O175" s="46">
        <f t="shared" ref="O175" si="158">G175+I175+K175+M175</f>
        <v>3.1849661340000005E-9</v>
      </c>
      <c r="P175" s="46">
        <f t="shared" ref="P175" si="159">H175+J175+L175+N175</f>
        <v>4.5773367479370797E-11</v>
      </c>
    </row>
    <row r="176" spans="1:16">
      <c r="A176" s="4" t="s">
        <v>20</v>
      </c>
      <c r="B176" s="4"/>
      <c r="C176" s="46">
        <f>'Intermediate calcs'!G33*VLOOKUP($B$152,Other_regional_data,2,FALSE)*VLOOKUP(IF(ISBLANK($A176),$B176,$A176),Radionuclide_specific,8,FALSE)*VLOOKUP($B$152,Other_regional_data,8,FALSE)*Other_F_local</f>
        <v>0</v>
      </c>
      <c r="D176" s="46">
        <f>'Intermediate calcs'!H33*VLOOKUP($B$152,Other_regional_data,2,FALSE)*VLOOKUP(IF(ISBLANK($A176),$B176,$A176),Radionuclide_specific,8,FALSE)*VLOOKUP($B$152,Other_regional_data,9,FALSE)*Other_F_local</f>
        <v>3.895072126637312E-13</v>
      </c>
      <c r="E176" s="47">
        <f>'Intermediate calcs'!I33*VLOOKUP($B$152,Other_regional_data,3,FALSE)*VLOOKUP(IF(ISBLANK($A176),$B176,$A176),Radionuclide_specific,8,FALSE)*VLOOKUP($B$152,Other_regional_data,8,FALSE)*Other_F_local</f>
        <v>0</v>
      </c>
      <c r="F176" s="47">
        <f>'Intermediate calcs'!J33*VLOOKUP($B$152,Other_regional_data,3,FALSE)*VLOOKUP(IF(ISBLANK($A176),$B176,$A176),Radionuclide_specific,8,FALSE)*VLOOKUP($B$152,Other_regional_data,9,FALSE)*Other_F_local</f>
        <v>1.5224072942275717E-11</v>
      </c>
      <c r="G176" s="46">
        <f t="shared" si="135"/>
        <v>0</v>
      </c>
      <c r="H176" s="46">
        <f t="shared" si="136"/>
        <v>1.561358015493945E-11</v>
      </c>
      <c r="I176" s="47">
        <f>'Intermediate calcs'!E33*VLOOKUP(IF(ISBLANK($A176),$B176,$A176),Radionuclide_specific,8,FALSE)*VLOOKUP($B$152,Other_regional_data,4,FALSE)*Other_F_local</f>
        <v>3.2343750000000001E-11</v>
      </c>
      <c r="J176" s="47">
        <f>'Intermediate calcs'!F33*VLOOKUP(IF(ISBLANK($A176),$B176,$A176),Radionuclide_specific,8,FALSE)*VLOOKUP($B$152,Other_regional_data,4,FALSE)*Other_F_local</f>
        <v>1.6171874999999999E-14</v>
      </c>
      <c r="K176" s="46">
        <f t="shared" si="157"/>
        <v>3.4499999999999999E-9</v>
      </c>
      <c r="L176" s="46">
        <f t="shared" si="157"/>
        <v>3.4499999999999997E-11</v>
      </c>
      <c r="M176" s="47">
        <f t="shared" si="157"/>
        <v>3.8820599999999997E-12</v>
      </c>
      <c r="N176" s="47">
        <f t="shared" si="157"/>
        <v>1.9459439999999999E-15</v>
      </c>
      <c r="O176" s="46">
        <f t="shared" si="137"/>
        <v>3.4862258099999996E-9</v>
      </c>
      <c r="P176" s="46">
        <f t="shared" si="138"/>
        <v>5.0131697973939452E-11</v>
      </c>
    </row>
    <row r="177" spans="1:16">
      <c r="A177" s="4"/>
      <c r="B177" s="4" t="s">
        <v>29</v>
      </c>
      <c r="C177" s="46">
        <f>'Intermediate calcs'!G34*VLOOKUP($B$152,Other_regional_data,2,FALSE)*VLOOKUP(IF(ISBLANK($A177),$B177,$A177),Radionuclide_specific,8,FALSE)*VLOOKUP($B$152,Other_regional_data,8,FALSE)*Other_F_local</f>
        <v>0</v>
      </c>
      <c r="D177" s="46">
        <f>'Intermediate calcs'!H34*VLOOKUP($B$152,Other_regional_data,2,FALSE)*VLOOKUP(IF(ISBLANK($A177),$B177,$A177),Radionuclide_specific,8,FALSE)*VLOOKUP($B$152,Other_regional_data,9,FALSE)*Other_F_local</f>
        <v>1.290825920403891E-11</v>
      </c>
      <c r="E177" s="47">
        <f>'Intermediate calcs'!I34*VLOOKUP($B$152,Other_regional_data,3,FALSE)*VLOOKUP(IF(ISBLANK($A177),$B177,$A177),Radionuclide_specific,8,FALSE)*VLOOKUP($B$152,Other_regional_data,8,FALSE)*Other_F_local</f>
        <v>0</v>
      </c>
      <c r="F177" s="47">
        <f>'Intermediate calcs'!J34*VLOOKUP($B$152,Other_regional_data,3,FALSE)*VLOOKUP(IF(ISBLANK($A177),$B177,$A177),Radionuclide_specific,8,FALSE)*VLOOKUP($B$152,Other_regional_data,9,FALSE)*Other_F_local</f>
        <v>5.5916454825367815E-11</v>
      </c>
      <c r="G177" s="46">
        <f t="shared" si="135"/>
        <v>0</v>
      </c>
      <c r="H177" s="46">
        <f t="shared" si="136"/>
        <v>6.8824714029406731E-11</v>
      </c>
      <c r="I177" s="47">
        <f>'Intermediate calcs'!E34*VLOOKUP(IF(ISBLANK($A177),$B177,$A177),Radionuclide_specific,8,FALSE)*VLOOKUP($B$152,Other_regional_data,4,FALSE)*Other_F_local</f>
        <v>6.468749999999999E-11</v>
      </c>
      <c r="J177" s="47">
        <f>'Intermediate calcs'!F34*VLOOKUP(IF(ISBLANK($A177),$B177,$A177),Radionuclide_specific,8,FALSE)*VLOOKUP($B$152,Other_regional_data,4,FALSE)*Other_F_local</f>
        <v>3.2343749999999998E-14</v>
      </c>
      <c r="K177" s="46">
        <f t="shared" si="157"/>
        <v>1.8629999999999999E-8</v>
      </c>
      <c r="L177" s="46">
        <f t="shared" si="157"/>
        <v>1.8630000000000002E-10</v>
      </c>
      <c r="M177" s="47">
        <f t="shared" si="157"/>
        <v>0</v>
      </c>
      <c r="N177" s="47">
        <f t="shared" si="157"/>
        <v>0</v>
      </c>
      <c r="O177" s="46">
        <f t="shared" si="137"/>
        <v>1.8694687499999998E-8</v>
      </c>
      <c r="P177" s="46">
        <f t="shared" si="138"/>
        <v>2.5515705777940677E-10</v>
      </c>
    </row>
    <row r="178" spans="1:16">
      <c r="A178" s="4"/>
      <c r="B178" s="4" t="s">
        <v>108</v>
      </c>
      <c r="C178" s="46">
        <f>'Intermediate calcs'!G35*VLOOKUP($B$152,Other_regional_data,2,FALSE)*VLOOKUP(IF(ISBLANK($A178),$B178,$A178),Radionuclide_specific,8,FALSE)*VLOOKUP($B$152,Other_regional_data,8,FALSE)*Other_F_local</f>
        <v>0</v>
      </c>
      <c r="D178" s="46">
        <f>'Intermediate calcs'!H35*VLOOKUP($B$152,Other_regional_data,2,FALSE)*VLOOKUP(IF(ISBLANK($A178),$B178,$A178),Radionuclide_specific,8,FALSE)*VLOOKUP($B$152,Other_regional_data,9,FALSE)*Other_F_local</f>
        <v>0</v>
      </c>
      <c r="E178" s="47">
        <f>'Intermediate calcs'!I35*VLOOKUP($B$152,Other_regional_data,3,FALSE)*VLOOKUP(IF(ISBLANK($A178),$B178,$A178),Radionuclide_specific,8,FALSE)*VLOOKUP($B$152,Other_regional_data,8,FALSE)*Other_F_local</f>
        <v>0</v>
      </c>
      <c r="F178" s="47">
        <f>'Intermediate calcs'!J35*VLOOKUP($B$152,Other_regional_data,3,FALSE)*VLOOKUP(IF(ISBLANK($A178),$B178,$A178),Radionuclide_specific,8,FALSE)*VLOOKUP($B$152,Other_regional_data,9,FALSE)*Other_F_local</f>
        <v>0</v>
      </c>
      <c r="G178" s="46">
        <f t="shared" si="135"/>
        <v>0</v>
      </c>
      <c r="H178" s="46">
        <f t="shared" si="136"/>
        <v>0</v>
      </c>
      <c r="I178" s="47">
        <f>'Intermediate calcs'!E35*VLOOKUP(IF(ISBLANK($A178),$B178,$A178),Radionuclide_specific,8,FALSE)*VLOOKUP($B$152,Other_regional_data,4,FALSE)*Other_F_local</f>
        <v>1.51171875E-13</v>
      </c>
      <c r="J178" s="47">
        <f>'Intermediate calcs'!F35*VLOOKUP(IF(ISBLANK($A178),$B178,$A178),Radionuclide_specific,8,FALSE)*VLOOKUP($B$152,Other_regional_data,4,FALSE)*Other_F_local</f>
        <v>7.5585937500000003E-17</v>
      </c>
      <c r="K178" s="46">
        <f t="shared" si="157"/>
        <v>1.1610000000000002E-11</v>
      </c>
      <c r="L178" s="46">
        <f t="shared" si="157"/>
        <v>1.1610000000000001E-13</v>
      </c>
      <c r="M178" s="47">
        <f t="shared" si="157"/>
        <v>8.0115480000000007E-9</v>
      </c>
      <c r="N178" s="47">
        <f t="shared" si="157"/>
        <v>4.0159152000000002E-12</v>
      </c>
      <c r="O178" s="46">
        <f t="shared" si="137"/>
        <v>8.023309171875E-9</v>
      </c>
      <c r="P178" s="46">
        <f t="shared" si="138"/>
        <v>4.1320907859375003E-12</v>
      </c>
    </row>
    <row r="179" spans="1:16">
      <c r="A179" s="4"/>
      <c r="B179" s="4" t="s">
        <v>109</v>
      </c>
      <c r="C179" s="46">
        <f>'Intermediate calcs'!G36*VLOOKUP($B$152,Other_regional_data,2,FALSE)*VLOOKUP(IF(ISBLANK($A179),$B179,$A179),Radionuclide_specific,8,FALSE)*VLOOKUP($B$152,Other_regional_data,8,FALSE)*Other_F_local</f>
        <v>0</v>
      </c>
      <c r="D179" s="46">
        <f>'Intermediate calcs'!H36*VLOOKUP($B$152,Other_regional_data,2,FALSE)*VLOOKUP(IF(ISBLANK($A179),$B179,$A179),Radionuclide_specific,8,FALSE)*VLOOKUP($B$152,Other_regional_data,9,FALSE)*Other_F_local</f>
        <v>8.2416044471290732E-14</v>
      </c>
      <c r="E179" s="47">
        <f>'Intermediate calcs'!I36*VLOOKUP($B$152,Other_regional_data,3,FALSE)*VLOOKUP(IF(ISBLANK($A179),$B179,$A179),Radionuclide_specific,8,FALSE)*VLOOKUP($B$152,Other_regional_data,8,FALSE)*Other_F_local</f>
        <v>0</v>
      </c>
      <c r="F179" s="47">
        <f>'Intermediate calcs'!J36*VLOOKUP($B$152,Other_regional_data,3,FALSE)*VLOOKUP(IF(ISBLANK($A179),$B179,$A179),Radionuclide_specific,8,FALSE)*VLOOKUP($B$152,Other_regional_data,9,FALSE)*Other_F_local</f>
        <v>4.587636121085603E-12</v>
      </c>
      <c r="G179" s="46">
        <f t="shared" si="135"/>
        <v>0</v>
      </c>
      <c r="H179" s="46">
        <f t="shared" si="136"/>
        <v>4.6700521655568935E-12</v>
      </c>
      <c r="I179" s="47">
        <f>'Intermediate calcs'!E36*VLOOKUP(IF(ISBLANK($A179),$B179,$A179),Radionuclide_specific,8,FALSE)*VLOOKUP($B$152,Other_regional_data,4,FALSE)*Other_F_local</f>
        <v>1.0124999999999999E-11</v>
      </c>
      <c r="J179" s="47">
        <f>'Intermediate calcs'!F36*VLOOKUP(IF(ISBLANK($A179),$B179,$A179),Radionuclide_specific,8,FALSE)*VLOOKUP($B$152,Other_regional_data,4,FALSE)*Other_F_local</f>
        <v>5.0624999999999997E-15</v>
      </c>
      <c r="K179" s="46">
        <f t="shared" si="157"/>
        <v>1.08E-9</v>
      </c>
      <c r="L179" s="46">
        <f t="shared" si="157"/>
        <v>1.0799999999999999E-11</v>
      </c>
      <c r="M179" s="47">
        <f t="shared" si="157"/>
        <v>1.8173159999999999E-11</v>
      </c>
      <c r="N179" s="47">
        <f t="shared" si="157"/>
        <v>9.1095839999999993E-15</v>
      </c>
      <c r="O179" s="46">
        <f t="shared" si="137"/>
        <v>1.1082981599999999E-9</v>
      </c>
      <c r="P179" s="46">
        <f t="shared" si="138"/>
        <v>1.5484224249556891E-11</v>
      </c>
    </row>
    <row r="180" spans="1:16">
      <c r="A180" s="4"/>
      <c r="B180" s="4" t="s">
        <v>110</v>
      </c>
      <c r="C180" s="46">
        <f>'Intermediate calcs'!G37*VLOOKUP($B$152,Other_regional_data,2,FALSE)*VLOOKUP(IF(ISBLANK($A180),$B180,$A180),Radionuclide_specific,8,FALSE)*VLOOKUP($B$152,Other_regional_data,8,FALSE)*Other_F_local</f>
        <v>0</v>
      </c>
      <c r="D180" s="46">
        <f>'Intermediate calcs'!H37*VLOOKUP($B$152,Other_regional_data,2,FALSE)*VLOOKUP(IF(ISBLANK($A180),$B180,$A180),Radionuclide_specific,8,FALSE)*VLOOKUP($B$152,Other_regional_data,9,FALSE)*Other_F_local</f>
        <v>2.0885906792320255E-16</v>
      </c>
      <c r="E180" s="47">
        <f>'Intermediate calcs'!I37*VLOOKUP($B$152,Other_regional_data,3,FALSE)*VLOOKUP(IF(ISBLANK($A180),$B180,$A180),Radionuclide_specific,8,FALSE)*VLOOKUP($B$152,Other_regional_data,8,FALSE)*Other_F_local</f>
        <v>0</v>
      </c>
      <c r="F180" s="47">
        <f>'Intermediate calcs'!J37*VLOOKUP($B$152,Other_regional_data,3,FALSE)*VLOOKUP(IF(ISBLANK($A180),$B180,$A180),Radionuclide_specific,8,FALSE)*VLOOKUP($B$152,Other_regional_data,9,FALSE)*Other_F_local</f>
        <v>1.1951608664964115E-14</v>
      </c>
      <c r="G180" s="46">
        <f t="shared" si="135"/>
        <v>0</v>
      </c>
      <c r="H180" s="46">
        <f t="shared" si="136"/>
        <v>1.2160467732887317E-14</v>
      </c>
      <c r="I180" s="47">
        <f>'Intermediate calcs'!E37*VLOOKUP(IF(ISBLANK($A180),$B180,$A180),Radionuclide_specific,8,FALSE)*VLOOKUP($B$152,Other_regional_data,4,FALSE)*Other_F_local</f>
        <v>3.5156249999999992E-12</v>
      </c>
      <c r="J180" s="47">
        <f>'Intermediate calcs'!F37*VLOOKUP(IF(ISBLANK($A180),$B180,$A180),Radionuclide_specific,8,FALSE)*VLOOKUP($B$152,Other_regional_data,4,FALSE)*Other_F_local</f>
        <v>1.7578125E-15</v>
      </c>
      <c r="K180" s="46">
        <f t="shared" si="157"/>
        <v>1.6200000000000001E-10</v>
      </c>
      <c r="L180" s="46">
        <f t="shared" si="157"/>
        <v>1.6200000000000002E-12</v>
      </c>
      <c r="M180" s="47">
        <f t="shared" si="157"/>
        <v>1.1518200000000001E-9</v>
      </c>
      <c r="N180" s="47">
        <f t="shared" si="157"/>
        <v>5.7736800000000005E-13</v>
      </c>
      <c r="O180" s="46">
        <f t="shared" si="137"/>
        <v>1.3173356250000002E-9</v>
      </c>
      <c r="P180" s="46">
        <f t="shared" si="138"/>
        <v>2.2112862802328874E-12</v>
      </c>
    </row>
    <row r="181" spans="1:16">
      <c r="A181" s="4" t="s">
        <v>111</v>
      </c>
      <c r="B181" s="4"/>
      <c r="C181" s="46">
        <f>'Intermediate calcs'!G38*VLOOKUP($B$152,Other_regional_data,2,FALSE)*VLOOKUP(IF(ISBLANK($A181),$B181,$A181),Radionuclide_specific,8,FALSE)*VLOOKUP($B$152,Other_regional_data,8,FALSE)*Other_F_local</f>
        <v>0</v>
      </c>
      <c r="D181" s="46">
        <f>'Intermediate calcs'!H38*VLOOKUP($B$152,Other_regional_data,2,FALSE)*VLOOKUP(IF(ISBLANK($A181),$B181,$A181),Radionuclide_specific,8,FALSE)*VLOOKUP($B$152,Other_regional_data,9,FALSE)*Other_F_local</f>
        <v>5.8181558757665952E-13</v>
      </c>
      <c r="E181" s="47">
        <f>'Intermediate calcs'!I38*VLOOKUP($B$152,Other_regional_data,3,FALSE)*VLOOKUP(IF(ISBLANK($A181),$B181,$A181),Radionuclide_specific,8,FALSE)*VLOOKUP($B$152,Other_regional_data,8,FALSE)*Other_F_local</f>
        <v>0</v>
      </c>
      <c r="F181" s="47">
        <f>'Intermediate calcs'!J38*VLOOKUP($B$152,Other_regional_data,3,FALSE)*VLOOKUP(IF(ISBLANK($A181),$B181,$A181),Radionuclide_specific,8,FALSE)*VLOOKUP($B$152,Other_regional_data,9,FALSE)*Other_F_local</f>
        <v>4.668055848127288E-12</v>
      </c>
      <c r="G181" s="46">
        <f t="shared" ref="G181" si="160">C181+E181</f>
        <v>0</v>
      </c>
      <c r="H181" s="46">
        <f t="shared" ref="H181" si="161">D181+F181</f>
        <v>5.2498714357039471E-12</v>
      </c>
      <c r="I181" s="47">
        <f>'Intermediate calcs'!E38*VLOOKUP(IF(ISBLANK($A181),$B181,$A181),Radionuclide_specific,8,FALSE)*VLOOKUP($B$152,Other_regional_data,4,FALSE)*Other_F_local</f>
        <v>5.2867132867132867E-12</v>
      </c>
      <c r="J181" s="47">
        <f>'Intermediate calcs'!F38*VLOOKUP(IF(ISBLANK($A181),$B181,$A181),Radionuclide_specific,8,FALSE)*VLOOKUP($B$152,Other_regional_data,4,FALSE)*Other_F_local</f>
        <v>5.1629268292682942E-14</v>
      </c>
      <c r="K181" s="46">
        <f t="shared" si="157"/>
        <v>7.3500000000000015E-10</v>
      </c>
      <c r="L181" s="46">
        <f t="shared" si="157"/>
        <v>7.3500000000000008E-12</v>
      </c>
      <c r="M181" s="47">
        <f t="shared" si="157"/>
        <v>6.3161424000000005E-15</v>
      </c>
      <c r="N181" s="47">
        <f t="shared" si="157"/>
        <v>6.164251200000002E-17</v>
      </c>
      <c r="O181" s="46">
        <f t="shared" ref="O181" si="162">G181+I181+K181+M181</f>
        <v>7.4029302942911343E-10</v>
      </c>
      <c r="P181" s="46">
        <f t="shared" ref="P181" si="163">H181+J181+L181+N181</f>
        <v>1.2651562346508629E-11</v>
      </c>
    </row>
    <row r="182" spans="1:16">
      <c r="A182" s="4" t="s">
        <v>30</v>
      </c>
      <c r="B182" s="4"/>
      <c r="C182" s="46">
        <f>'Intermediate calcs'!G39*VLOOKUP($B$152,Other_regional_data,2,FALSE)*VLOOKUP(IF(ISBLANK($A182),$B182,$A182),Radionuclide_specific,8,FALSE)*VLOOKUP($B$152,Other_regional_data,8,FALSE)*Other_F_local</f>
        <v>0</v>
      </c>
      <c r="D182" s="46">
        <f>'Intermediate calcs'!H39*VLOOKUP($B$152,Other_regional_data,2,FALSE)*VLOOKUP(IF(ISBLANK($A182),$B182,$A182),Radionuclide_specific,8,FALSE)*VLOOKUP($B$152,Other_regional_data,9,FALSE)*Other_F_local</f>
        <v>5.3432043757040167E-13</v>
      </c>
      <c r="E182" s="47">
        <f>'Intermediate calcs'!I39*VLOOKUP($B$152,Other_regional_data,3,FALSE)*VLOOKUP(IF(ISBLANK($A182),$B182,$A182),Radionuclide_specific,8,FALSE)*VLOOKUP($B$152,Other_regional_data,8,FALSE)*Other_F_local</f>
        <v>0</v>
      </c>
      <c r="F182" s="47">
        <f>'Intermediate calcs'!J39*VLOOKUP($B$152,Other_regional_data,3,FALSE)*VLOOKUP(IF(ISBLANK($A182),$B182,$A182),Radionuclide_specific,8,FALSE)*VLOOKUP($B$152,Other_regional_data,9,FALSE)*Other_F_local</f>
        <v>4.2869900646066926E-12</v>
      </c>
      <c r="G182" s="46">
        <f t="shared" si="135"/>
        <v>0</v>
      </c>
      <c r="H182" s="46">
        <f t="shared" si="136"/>
        <v>4.8213105021770946E-12</v>
      </c>
      <c r="I182" s="47">
        <f>'Intermediate calcs'!E39*VLOOKUP(IF(ISBLANK($A182),$B182,$A182),Radionuclide_specific,8,FALSE)*VLOOKUP($B$152,Other_regional_data,4,FALSE)*Other_F_local</f>
        <v>4.855144855144856E-12</v>
      </c>
      <c r="J182" s="47">
        <f>'Intermediate calcs'!F39*VLOOKUP(IF(ISBLANK($A182),$B182,$A182),Radionuclide_specific,8,FALSE)*VLOOKUP($B$152,Other_regional_data,4,FALSE)*Other_F_local</f>
        <v>4.7414634146341469E-14</v>
      </c>
      <c r="K182" s="46">
        <f t="shared" si="157"/>
        <v>6.7500000000000005E-10</v>
      </c>
      <c r="L182" s="46">
        <f t="shared" si="157"/>
        <v>6.7499999999999993E-12</v>
      </c>
      <c r="M182" s="47">
        <f t="shared" si="157"/>
        <v>4.5592632000000009E-15</v>
      </c>
      <c r="N182" s="47">
        <f t="shared" si="157"/>
        <v>4.4496216000000007E-17</v>
      </c>
      <c r="O182" s="46">
        <f t="shared" si="137"/>
        <v>6.7985970411834489E-10</v>
      </c>
      <c r="P182" s="46">
        <f t="shared" si="138"/>
        <v>1.1618769632539435E-11</v>
      </c>
    </row>
    <row r="183" spans="1:16">
      <c r="A183" s="4"/>
      <c r="B183" s="4" t="s">
        <v>31</v>
      </c>
      <c r="C183" s="46">
        <f>'Intermediate calcs'!G40*VLOOKUP($B$152,Other_regional_data,2,FALSE)*VLOOKUP(IF(ISBLANK($A183),$B183,$A183),Radionuclide_specific,8,FALSE)*VLOOKUP($B$152,Other_regional_data,8,FALSE)*Other_F_local</f>
        <v>0</v>
      </c>
      <c r="D183" s="46">
        <f>'Intermediate calcs'!H40*VLOOKUP($B$152,Other_regional_data,2,FALSE)*VLOOKUP(IF(ISBLANK($A183),$B183,$A183),Radionuclide_specific,8,FALSE)*VLOOKUP($B$152,Other_regional_data,9,FALSE)*Other_F_local</f>
        <v>2.4469398775706081E-15</v>
      </c>
      <c r="E183" s="47">
        <f>'Intermediate calcs'!I40*VLOOKUP($B$152,Other_regional_data,3,FALSE)*VLOOKUP(IF(ISBLANK($A183),$B183,$A183),Radionuclide_specific,8,FALSE)*VLOOKUP($B$152,Other_regional_data,8,FALSE)*Other_F_local</f>
        <v>0</v>
      </c>
      <c r="F183" s="47">
        <f>'Intermediate calcs'!J40*VLOOKUP($B$152,Other_regional_data,3,FALSE)*VLOOKUP(IF(ISBLANK($A183),$B183,$A183),Radionuclide_specific,8,FALSE)*VLOOKUP($B$152,Other_regional_data,9,FALSE)*Other_F_local</f>
        <v>1.3923747817340178E-13</v>
      </c>
      <c r="G183" s="46">
        <f t="shared" si="135"/>
        <v>0</v>
      </c>
      <c r="H183" s="46">
        <f t="shared" si="136"/>
        <v>1.4168441805097239E-13</v>
      </c>
      <c r="I183" s="47">
        <f>'Intermediate calcs'!E40*VLOOKUP(IF(ISBLANK($A183),$B183,$A183),Radionuclide_specific,8,FALSE)*VLOOKUP($B$152,Other_regional_data,4,FALSE)*Other_F_local</f>
        <v>2.2927072927072933E-12</v>
      </c>
      <c r="J183" s="47">
        <f>'Intermediate calcs'!F40*VLOOKUP(IF(ISBLANK($A183),$B183,$A183),Radionuclide_specific,8,FALSE)*VLOOKUP($B$152,Other_regional_data,4,FALSE)*Other_F_local</f>
        <v>2.2390243902439029E-14</v>
      </c>
      <c r="K183" s="46">
        <f t="shared" si="157"/>
        <v>5.0999999999999998E-11</v>
      </c>
      <c r="L183" s="46">
        <f t="shared" si="157"/>
        <v>5.0999999999999995E-13</v>
      </c>
      <c r="M183" s="47">
        <f t="shared" si="157"/>
        <v>8.0730216000000012E-14</v>
      </c>
      <c r="N183" s="47">
        <f t="shared" si="157"/>
        <v>7.8788808000000002E-16</v>
      </c>
      <c r="O183" s="46">
        <f t="shared" si="137"/>
        <v>5.3373437508707293E-11</v>
      </c>
      <c r="P183" s="46">
        <f t="shared" si="138"/>
        <v>6.7486255003341132E-13</v>
      </c>
    </row>
    <row r="184" spans="1:16" s="114" customFormat="1">
      <c r="A184" s="88"/>
      <c r="B184" s="88" t="s">
        <v>32</v>
      </c>
      <c r="C184" s="89">
        <f>'Intermediate calcs'!G41*VLOOKUP($B$152,Other_regional_data,2,FALSE)*VLOOKUP(IF(ISBLANK($A184),$B184,$A184),Radionuclide_specific,8,FALSE)*VLOOKUP($B$152,Other_regional_data,8,FALSE)*Other_F_local</f>
        <v>0</v>
      </c>
      <c r="D184" s="89">
        <f>'Intermediate calcs'!H41*VLOOKUP($B$152,Other_regional_data,2,FALSE)*VLOOKUP(IF(ISBLANK($A184),$B184,$A184),Radionuclide_specific,8,FALSE)*VLOOKUP($B$152,Other_regional_data,9,FALSE)*Other_F_local</f>
        <v>0</v>
      </c>
      <c r="E184" s="90">
        <f>'Intermediate calcs'!I41*VLOOKUP($B$152,Other_regional_data,3,FALSE)*VLOOKUP(IF(ISBLANK($A184),$B184,$A184),Radionuclide_specific,8,FALSE)*VLOOKUP($B$152,Other_regional_data,8,FALSE)*Other_F_local</f>
        <v>0</v>
      </c>
      <c r="F184" s="90">
        <f>'Intermediate calcs'!J41*VLOOKUP($B$152,Other_regional_data,3,FALSE)*VLOOKUP(IF(ISBLANK($A184),$B184,$A184),Radionuclide_specific,8,FALSE)*VLOOKUP($B$152,Other_regional_data,9,FALSE)*Other_F_local</f>
        <v>0</v>
      </c>
      <c r="G184" s="89">
        <f t="shared" si="135"/>
        <v>0</v>
      </c>
      <c r="H184" s="89">
        <f t="shared" si="136"/>
        <v>0</v>
      </c>
      <c r="I184" s="90">
        <f>'Intermediate calcs'!E41*VLOOKUP(IF(ISBLANK($A184),$B184,$A184),Radionuclide_specific,8,FALSE)*VLOOKUP($B$152,Other_regional_data,4,FALSE)*Other_F_local</f>
        <v>0</v>
      </c>
      <c r="J184" s="90">
        <f>'Intermediate calcs'!F41*VLOOKUP(IF(ISBLANK($A184),$B184,$A184),Radionuclide_specific,8,FALSE)*VLOOKUP($B$152,Other_regional_data,4,FALSE)*Other_F_local</f>
        <v>0</v>
      </c>
      <c r="K184" s="89">
        <f t="shared" si="157"/>
        <v>0</v>
      </c>
      <c r="L184" s="89">
        <f t="shared" si="157"/>
        <v>0</v>
      </c>
      <c r="M184" s="90">
        <f t="shared" si="157"/>
        <v>1.1640672000000001E-12</v>
      </c>
      <c r="N184" s="90">
        <f t="shared" si="157"/>
        <v>1.1360736000000002E-14</v>
      </c>
      <c r="O184" s="89">
        <f t="shared" si="137"/>
        <v>1.1640672000000001E-12</v>
      </c>
      <c r="P184" s="89">
        <f t="shared" si="138"/>
        <v>1.1360736000000002E-14</v>
      </c>
    </row>
    <row r="185" spans="1:16">
      <c r="A185" s="4" t="s">
        <v>13</v>
      </c>
      <c r="C185" s="46">
        <f>'Intermediate calcs'!G42*VLOOKUP($B$152,Other_regional_data,2,FALSE)*VLOOKUP(IF(ISBLANK($A185),$B185,$A185),Radionuclide_specific,8,FALSE)*VLOOKUP($B$152,Other_regional_data,8,FALSE)*Other_F_local</f>
        <v>0</v>
      </c>
      <c r="D185" s="46">
        <f>'Intermediate calcs'!H42*VLOOKUP($B$152,Other_regional_data,2,FALSE)*VLOOKUP(IF(ISBLANK($A185),$B185,$A185),Radionuclide_specific,8,FALSE)*VLOOKUP($B$152,Other_regional_data,9,FALSE)*Other_F_local</f>
        <v>5.5524905582855485E-13</v>
      </c>
      <c r="E185" s="47">
        <f>'Intermediate calcs'!I42*VLOOKUP($B$152,Other_regional_data,3,FALSE)*VLOOKUP(IF(ISBLANK($A185),$B185,$A185),Radionuclide_specific,8,FALSE)*VLOOKUP($B$152,Other_regional_data,8,FALSE)*Other_F_local</f>
        <v>0</v>
      </c>
      <c r="F185" s="47">
        <f>'Intermediate calcs'!J42*VLOOKUP($B$152,Other_regional_data,3,FALSE)*VLOOKUP(IF(ISBLANK($A185),$B185,$A185),Radionuclide_specific,8,FALSE)*VLOOKUP($B$152,Other_regional_data,9,FALSE)*Other_F_local</f>
        <v>1.7011865335740845E-11</v>
      </c>
      <c r="G185" s="46">
        <f t="shared" si="135"/>
        <v>0</v>
      </c>
      <c r="H185" s="46">
        <f t="shared" si="136"/>
        <v>1.75671143915694E-11</v>
      </c>
      <c r="I185" s="47">
        <f>'Intermediate calcs'!E42*VLOOKUP(IF(ISBLANK($A185),$B185,$A185),Radionuclide_specific,8,FALSE)*VLOOKUP($B$152,Other_regional_data,4,FALSE)*Other_F_local</f>
        <v>1.4547413793103448E-10</v>
      </c>
      <c r="J185" s="47">
        <f>'Intermediate calcs'!F42*VLOOKUP(IF(ISBLANK($A185),$B185,$A185),Radionuclide_specific,8,FALSE)*VLOOKUP($B$152,Other_regional_data,4,FALSE)*Other_F_local</f>
        <v>6.9731404958677676E-14</v>
      </c>
      <c r="K185" s="46">
        <f t="shared" si="157"/>
        <v>3.375E-9</v>
      </c>
      <c r="L185" s="46">
        <f t="shared" si="157"/>
        <v>3.3750000000000006E-11</v>
      </c>
      <c r="M185" s="47">
        <f t="shared" si="157"/>
        <v>2.5335072000000002E-12</v>
      </c>
      <c r="N185" s="47">
        <f t="shared" si="157"/>
        <v>1.2146112E-15</v>
      </c>
      <c r="O185" s="46">
        <f t="shared" si="137"/>
        <v>3.5230076451310345E-9</v>
      </c>
      <c r="P185" s="46">
        <f t="shared" si="138"/>
        <v>5.1388060407728091E-11</v>
      </c>
    </row>
    <row r="186" spans="1:16" ht="11.25" customHeight="1">
      <c r="A186" t="s">
        <v>18</v>
      </c>
      <c r="C186" s="46">
        <f>'Intermediate calcs'!G43*VLOOKUP($B$152,Other_regional_data,2,FALSE)*VLOOKUP(IF(ISBLANK($A186),$B186,$A186),Radionuclide_specific,8,FALSE)*VLOOKUP($B$152,Other_regional_data,8,FALSE)*Other_F_local</f>
        <v>0</v>
      </c>
      <c r="D186" s="46">
        <f>'Intermediate calcs'!H43*VLOOKUP($B$152,Other_regional_data,2,FALSE)*VLOOKUP(IF(ISBLANK($A186),$B186,$A186),Radionuclide_specific,8,FALSE)*VLOOKUP($B$152,Other_regional_data,9,FALSE)*Other_F_local</f>
        <v>5.5524905582855485E-13</v>
      </c>
      <c r="E186" s="47">
        <f>'Intermediate calcs'!I43*VLOOKUP($B$152,Other_regional_data,3,FALSE)*VLOOKUP(IF(ISBLANK($A186),$B186,$A186),Radionuclide_specific,8,FALSE)*VLOOKUP($B$152,Other_regional_data,8,FALSE)*Other_F_local</f>
        <v>0</v>
      </c>
      <c r="F186" s="47">
        <f>'Intermediate calcs'!J43*VLOOKUP($B$152,Other_regional_data,3,FALSE)*VLOOKUP(IF(ISBLANK($A186),$B186,$A186),Radionuclide_specific,8,FALSE)*VLOOKUP($B$152,Other_regional_data,9,FALSE)*Other_F_local</f>
        <v>1.7011865335740845E-11</v>
      </c>
      <c r="G186" s="46">
        <f t="shared" si="135"/>
        <v>0</v>
      </c>
      <c r="H186" s="46">
        <f t="shared" si="136"/>
        <v>1.75671143915694E-11</v>
      </c>
      <c r="I186" s="47">
        <f>'Intermediate calcs'!E43*VLOOKUP(IF(ISBLANK($A186),$B186,$A186),Radionuclide_specific,8,FALSE)*VLOOKUP($B$152,Other_regional_data,4,FALSE)*Other_F_local</f>
        <v>1.4547413793103448E-10</v>
      </c>
      <c r="J186" s="47">
        <f>'Intermediate calcs'!F43*VLOOKUP(IF(ISBLANK($A186),$B186,$A186),Radionuclide_specific,8,FALSE)*VLOOKUP($B$152,Other_regional_data,4,FALSE)*Other_F_local</f>
        <v>6.9731404958677676E-14</v>
      </c>
      <c r="K186" s="46">
        <f t="shared" si="157"/>
        <v>3.375E-9</v>
      </c>
      <c r="L186" s="46">
        <f t="shared" si="157"/>
        <v>3.3750000000000006E-11</v>
      </c>
      <c r="M186" s="47">
        <f t="shared" si="157"/>
        <v>5.3614008000000006E-12</v>
      </c>
      <c r="N186" s="47">
        <f t="shared" si="157"/>
        <v>2.5703568000000008E-15</v>
      </c>
      <c r="O186" s="46">
        <f t="shared" si="137"/>
        <v>3.5258355387310345E-9</v>
      </c>
      <c r="P186" s="46">
        <f t="shared" si="138"/>
        <v>5.1389416153328087E-11</v>
      </c>
    </row>
    <row r="187" spans="1:16">
      <c r="A187" t="s">
        <v>9</v>
      </c>
      <c r="C187" s="46">
        <f>'Intermediate calcs'!G44*VLOOKUP($B$152,Other_regional_data,2,FALSE)*VLOOKUP(IF(ISBLANK($A187),$B187,$A187),Radionuclide_specific,8,FALSE)*VLOOKUP($B$152,Other_regional_data,8,FALSE)*Other_F_local</f>
        <v>0</v>
      </c>
      <c r="D187" s="46">
        <f>'Intermediate calcs'!H44*VLOOKUP($B$152,Other_regional_data,2,FALSE)*VLOOKUP(IF(ISBLANK($A187),$B187,$A187),Radionuclide_specific,8,FALSE)*VLOOKUP($B$152,Other_regional_data,9,FALSE)*Other_F_local</f>
        <v>6.3212969432789307E-13</v>
      </c>
      <c r="E187" s="47">
        <f>'Intermediate calcs'!I44*VLOOKUP($B$152,Other_regional_data,3,FALSE)*VLOOKUP(IF(ISBLANK($A187),$B187,$A187),Radionuclide_specific,8,FALSE)*VLOOKUP($B$152,Other_regional_data,8,FALSE)*Other_F_local</f>
        <v>0</v>
      </c>
      <c r="F187" s="47">
        <f>'Intermediate calcs'!J44*VLOOKUP($B$152,Other_regional_data,3,FALSE)*VLOOKUP(IF(ISBLANK($A187),$B187,$A187),Radionuclide_specific,8,FALSE)*VLOOKUP($B$152,Other_regional_data,9,FALSE)*Other_F_local</f>
        <v>1.41043828965415E-11</v>
      </c>
      <c r="G187" s="46">
        <f t="shared" si="135"/>
        <v>0</v>
      </c>
      <c r="H187" s="46">
        <f t="shared" si="136"/>
        <v>1.4736512590869392E-11</v>
      </c>
      <c r="I187" s="47">
        <f>'Intermediate calcs'!E44*VLOOKUP(IF(ISBLANK($A187),$B187,$A187),Radionuclide_specific,8,FALSE)*VLOOKUP($B$152,Other_regional_data,4,FALSE)*Other_F_local</f>
        <v>1.588235294117647E-9</v>
      </c>
      <c r="J187" s="47">
        <f>'Intermediate calcs'!F44*VLOOKUP(IF(ISBLANK($A187),$B187,$A187),Radionuclide_specific,8,FALSE)*VLOOKUP($B$152,Other_regional_data,4,FALSE)*Other_F_local</f>
        <v>8.8524590163934439E-13</v>
      </c>
      <c r="K187" s="46">
        <f t="shared" si="157"/>
        <v>2.7000000000000002E-9</v>
      </c>
      <c r="L187" s="46">
        <f t="shared" si="157"/>
        <v>2.7000000000000004E-11</v>
      </c>
      <c r="M187" s="47">
        <f t="shared" si="157"/>
        <v>1.7715456E-10</v>
      </c>
      <c r="N187" s="47">
        <f t="shared" si="157"/>
        <v>9.8642880000000008E-14</v>
      </c>
      <c r="O187" s="46">
        <f t="shared" si="137"/>
        <v>4.4653898541176472E-9</v>
      </c>
      <c r="P187" s="46">
        <f t="shared" si="138"/>
        <v>4.2720401372508738E-11</v>
      </c>
    </row>
    <row r="189" spans="1:16" s="113" customFormat="1" ht="12.75">
      <c r="A189" s="44" t="s">
        <v>297</v>
      </c>
      <c r="B189" s="44" t="s">
        <v>59</v>
      </c>
      <c r="C189" s="133" t="s">
        <v>153</v>
      </c>
      <c r="D189" s="133"/>
      <c r="E189" s="133"/>
      <c r="F189" s="133"/>
      <c r="G189" s="133"/>
      <c r="H189" s="133"/>
      <c r="I189" s="133"/>
      <c r="J189" s="133"/>
      <c r="K189" s="133" t="s">
        <v>154</v>
      </c>
      <c r="L189" s="133"/>
      <c r="M189" s="133"/>
      <c r="N189" s="133"/>
      <c r="O189" s="133" t="s">
        <v>64</v>
      </c>
      <c r="P189" s="133"/>
    </row>
    <row r="190" spans="1:16">
      <c r="A190" s="129" t="s">
        <v>149</v>
      </c>
      <c r="B190" s="129" t="s">
        <v>150</v>
      </c>
      <c r="C190" s="131" t="s">
        <v>227</v>
      </c>
      <c r="D190" s="131"/>
      <c r="E190" s="132" t="s">
        <v>226</v>
      </c>
      <c r="F190" s="132"/>
      <c r="G190" s="131" t="s">
        <v>225</v>
      </c>
      <c r="H190" s="131"/>
      <c r="I190" s="132" t="s">
        <v>224</v>
      </c>
      <c r="J190" s="132"/>
      <c r="K190" s="131" t="s">
        <v>201</v>
      </c>
      <c r="L190" s="131"/>
      <c r="M190" s="132" t="s">
        <v>202</v>
      </c>
      <c r="N190" s="132"/>
      <c r="O190" s="131" t="s">
        <v>223</v>
      </c>
      <c r="P190" s="131"/>
    </row>
    <row r="191" spans="1:16">
      <c r="A191" s="129"/>
      <c r="B191" s="129"/>
      <c r="C191" s="70" t="s">
        <v>73</v>
      </c>
      <c r="D191" s="70" t="s">
        <v>74</v>
      </c>
      <c r="E191" s="69" t="s">
        <v>73</v>
      </c>
      <c r="F191" s="69" t="s">
        <v>74</v>
      </c>
      <c r="G191" s="70" t="s">
        <v>73</v>
      </c>
      <c r="H191" s="70" t="s">
        <v>74</v>
      </c>
      <c r="I191" s="69" t="s">
        <v>73</v>
      </c>
      <c r="J191" s="69" t="s">
        <v>74</v>
      </c>
      <c r="K191" s="70" t="s">
        <v>73</v>
      </c>
      <c r="L191" s="70" t="s">
        <v>74</v>
      </c>
      <c r="M191" s="69" t="s">
        <v>73</v>
      </c>
      <c r="N191" s="69" t="s">
        <v>74</v>
      </c>
      <c r="O191" s="48" t="s">
        <v>73</v>
      </c>
      <c r="P191" s="48" t="s">
        <v>74</v>
      </c>
    </row>
    <row r="192" spans="1:16">
      <c r="A192" s="4" t="s">
        <v>33</v>
      </c>
      <c r="B192" s="4"/>
      <c r="C192" s="46">
        <f>'Intermediate calcs'!G12*VLOOKUP($B$189,Other_regional_data,2,FALSE)*VLOOKUP(IF(ISBLANK($A192),$B192,$A192),Radionuclide_specific,8,FALSE)*VLOOKUP($B$189,Other_regional_data,8,FALSE)*Other_F_local</f>
        <v>0</v>
      </c>
      <c r="D192" s="46">
        <f>'Intermediate calcs'!H12*VLOOKUP($B$189,Other_regional_data,2,FALSE)*VLOOKUP(IF(ISBLANK($A192),$B192,$A192),Radionuclide_specific,8,FALSE)*VLOOKUP($B$189,Other_regional_data,9,FALSE)*Other_F_local</f>
        <v>1.0355789234095819E-17</v>
      </c>
      <c r="E192" s="47">
        <f>'Intermediate calcs'!I12*VLOOKUP($B$189,Other_regional_data,3,FALSE)*VLOOKUP(IF(ISBLANK($A192),$B192,$A192),Radionuclide_specific,8,FALSE)*VLOOKUP($B$189,Other_regional_data,8,FALSE)*Other_F_local</f>
        <v>0</v>
      </c>
      <c r="F192" s="47">
        <f>'Intermediate calcs'!J12*VLOOKUP($B$189,Other_regional_data,3,FALSE)*VLOOKUP(IF(ISBLANK($A192),$B192,$A192),Radionuclide_specific,8,FALSE)*VLOOKUP($B$189,Other_regional_data,9,FALSE)*Other_F_local</f>
        <v>1.022075642046963E-16</v>
      </c>
      <c r="G192" s="46">
        <f>C192+E192</f>
        <v>0</v>
      </c>
      <c r="H192" s="46">
        <f>D192+F192</f>
        <v>1.1256335343879212E-16</v>
      </c>
      <c r="I192" s="47">
        <f>'Intermediate calcs'!E12*VLOOKUP(IF(ISBLANK($A192),$B192,$A192),Radionuclide_specific,8,FALSE)*VLOOKUP($B$189,Other_regional_data,4,FALSE)*Other_F_local</f>
        <v>4.5630000000000004E-16</v>
      </c>
      <c r="J192" s="47">
        <f>'Intermediate calcs'!F12*VLOOKUP(IF(ISBLANK($A192),$B192,$A192),Radionuclide_specific,8,FALSE)*VLOOKUP($B$189,Other_regional_data,4,FALSE)*Other_F_local</f>
        <v>4.5630000000000003E-18</v>
      </c>
      <c r="K192" s="46">
        <f t="shared" ref="K192:N221" si="164">K155</f>
        <v>9E-13</v>
      </c>
      <c r="L192" s="46">
        <f t="shared" si="164"/>
        <v>8.9999999999999995E-15</v>
      </c>
      <c r="M192" s="47">
        <f t="shared" si="164"/>
        <v>0</v>
      </c>
      <c r="N192" s="47">
        <f t="shared" si="164"/>
        <v>0</v>
      </c>
      <c r="O192" s="46">
        <f>G192+I192+K192+M192</f>
        <v>9.0045629999999997E-13</v>
      </c>
      <c r="P192" s="46">
        <f>H192+J192+L192+N192</f>
        <v>9.1171263534387912E-15</v>
      </c>
    </row>
    <row r="193" spans="1:16">
      <c r="A193" s="4"/>
      <c r="B193" s="4" t="s">
        <v>43</v>
      </c>
      <c r="C193" s="46">
        <f>'Intermediate calcs'!G13*VLOOKUP($B$189,Other_regional_data,2,FALSE)*VLOOKUP(IF(ISBLANK($A193),$B193,$A193),Radionuclide_specific,8,FALSE)*VLOOKUP($B$189,Other_regional_data,8,FALSE)*Other_F_local</f>
        <v>0</v>
      </c>
      <c r="D193" s="46">
        <f>'Intermediate calcs'!H13*VLOOKUP($B$189,Other_regional_data,2,FALSE)*VLOOKUP(IF(ISBLANK($A193),$B193,$A193),Radionuclide_specific,8,FALSE)*VLOOKUP($B$189,Other_regional_data,9,FALSE)*Other_F_local</f>
        <v>5.3584995812905429E-17</v>
      </c>
      <c r="E193" s="47">
        <f>'Intermediate calcs'!I13*VLOOKUP($B$189,Other_regional_data,3,FALSE)*VLOOKUP(IF(ISBLANK($A193),$B193,$A193),Radionuclide_specific,8,FALSE)*VLOOKUP($B$189,Other_regional_data,8,FALSE)*Other_F_local</f>
        <v>0</v>
      </c>
      <c r="F193" s="47">
        <f>'Intermediate calcs'!J13*VLOOKUP($B$189,Other_regional_data,3,FALSE)*VLOOKUP(IF(ISBLANK($A193),$B193,$A193),Radionuclide_specific,8,FALSE)*VLOOKUP($B$189,Other_regional_data,9,FALSE)*Other_F_local</f>
        <v>5.7111809354728529E-18</v>
      </c>
      <c r="G193" s="46">
        <f t="shared" ref="G193:G224" si="165">C193+E193</f>
        <v>0</v>
      </c>
      <c r="H193" s="46">
        <f t="shared" ref="H193:H224" si="166">D193+F193</f>
        <v>5.929617674837828E-17</v>
      </c>
      <c r="I193" s="47">
        <f>'Intermediate calcs'!E13*VLOOKUP(IF(ISBLANK($A193),$B193,$A193),Radionuclide_specific,8,FALSE)*VLOOKUP($B$189,Other_regional_data,4,FALSE)*Other_F_local</f>
        <v>1.2882869999999998E-19</v>
      </c>
      <c r="J193" s="47">
        <f>'Intermediate calcs'!F13*VLOOKUP(IF(ISBLANK($A193),$B193,$A193),Radionuclide_specific,8,FALSE)*VLOOKUP($B$189,Other_regional_data,4,FALSE)*Other_F_local</f>
        <v>1.2882869999999997E-21</v>
      </c>
      <c r="K193" s="46">
        <f t="shared" si="164"/>
        <v>2.0999999999999999E-12</v>
      </c>
      <c r="L193" s="46">
        <f t="shared" si="164"/>
        <v>2.0999999999999999E-14</v>
      </c>
      <c r="M193" s="47">
        <f t="shared" si="164"/>
        <v>0</v>
      </c>
      <c r="N193" s="47">
        <f t="shared" si="164"/>
        <v>0</v>
      </c>
      <c r="O193" s="46">
        <f t="shared" ref="O193:O224" si="167">G193+I193+K193+M193</f>
        <v>2.1000001288287E-12</v>
      </c>
      <c r="P193" s="46">
        <f t="shared" ref="P193:P224" si="168">H193+J193+L193+N193</f>
        <v>2.1059297465035376E-14</v>
      </c>
    </row>
    <row r="194" spans="1:16">
      <c r="A194" s="4" t="s">
        <v>10</v>
      </c>
      <c r="B194" s="4"/>
      <c r="C194" s="46">
        <f>'Intermediate calcs'!G14*VLOOKUP($B$189,Other_regional_data,2,FALSE)*VLOOKUP(IF(ISBLANK($A194),$B194,$A194),Radionuclide_specific,8,FALSE)*VLOOKUP($B$189,Other_regional_data,8,FALSE)*Other_F_local</f>
        <v>0</v>
      </c>
      <c r="D194" s="46">
        <f>'Intermediate calcs'!H14*VLOOKUP($B$189,Other_regional_data,2,FALSE)*VLOOKUP(IF(ISBLANK($A194),$B194,$A194),Radionuclide_specific,8,FALSE)*VLOOKUP($B$189,Other_regional_data,9,FALSE)*Other_F_local</f>
        <v>2.0163957272727261E-12</v>
      </c>
      <c r="E194" s="47">
        <f>'Intermediate calcs'!I14*VLOOKUP($B$189,Other_regional_data,3,FALSE)*VLOOKUP(IF(ISBLANK($A194),$B194,$A194),Radionuclide_specific,8,FALSE)*VLOOKUP($B$189,Other_regional_data,8,FALSE)*Other_F_local</f>
        <v>0</v>
      </c>
      <c r="F194" s="47">
        <f>'Intermediate calcs'!J14*VLOOKUP($B$189,Other_regional_data,3,FALSE)*VLOOKUP(IF(ISBLANK($A194),$B194,$A194),Radionuclide_specific,8,FALSE)*VLOOKUP($B$189,Other_regional_data,9,FALSE)*Other_F_local</f>
        <v>1.9967590909090897E-13</v>
      </c>
      <c r="G194" s="46">
        <f t="shared" si="165"/>
        <v>0</v>
      </c>
      <c r="H194" s="46">
        <f t="shared" si="166"/>
        <v>2.2160716363636352E-12</v>
      </c>
      <c r="I194" s="47">
        <f>'Intermediate calcs'!E14*VLOOKUP(IF(ISBLANK($A194),$B194,$A194),Radionuclide_specific,8,FALSE)*VLOOKUP($B$189,Other_regional_data,4,FALSE)*Other_F_local</f>
        <v>7.5392460753924616E-9</v>
      </c>
      <c r="J194" s="47">
        <f>'Intermediate calcs'!F14*VLOOKUP(IF(ISBLANK($A194),$B194,$A194),Radionuclide_specific,8,FALSE)*VLOOKUP($B$189,Other_regional_data,4,FALSE)*Other_F_local</f>
        <v>7.5211970074812985E-11</v>
      </c>
      <c r="K194" s="46">
        <f t="shared" si="164"/>
        <v>2.9E-11</v>
      </c>
      <c r="L194" s="46">
        <f t="shared" si="164"/>
        <v>2.8999999999999998E-13</v>
      </c>
      <c r="M194" s="47">
        <f t="shared" si="164"/>
        <v>1.3688568000000001E-17</v>
      </c>
      <c r="N194" s="47">
        <f t="shared" si="164"/>
        <v>1.3661136000000002E-19</v>
      </c>
      <c r="O194" s="46">
        <f t="shared" si="167"/>
        <v>7.56824608908103E-9</v>
      </c>
      <c r="P194" s="46">
        <f t="shared" si="168"/>
        <v>7.7718041847787986E-11</v>
      </c>
    </row>
    <row r="195" spans="1:16">
      <c r="A195" s="4" t="s">
        <v>240</v>
      </c>
      <c r="B195" s="4"/>
      <c r="C195" s="46">
        <f>'Intermediate calcs'!G15*VLOOKUP($B$189,Other_regional_data,2,FALSE)*VLOOKUP(IF(ISBLANK($A195),$B195,$A195),Radionuclide_specific,8,FALSE)*VLOOKUP($B$189,Other_regional_data,8,FALSE)*Other_F_local</f>
        <v>0</v>
      </c>
      <c r="D195" s="46">
        <f>'Intermediate calcs'!H15*VLOOKUP($B$189,Other_regional_data,2,FALSE)*VLOOKUP(IF(ISBLANK($A195),$B195,$A195),Radionuclide_specific,8,FALSE)*VLOOKUP($B$189,Other_regional_data,9,FALSE)*Other_F_local</f>
        <v>5.3582139843462951E-14</v>
      </c>
      <c r="E195" s="47">
        <f>'Intermediate calcs'!I15*VLOOKUP($B$189,Other_regional_data,3,FALSE)*VLOOKUP(IF(ISBLANK($A195),$B195,$A195),Radionuclide_specific,8,FALSE)*VLOOKUP($B$189,Other_regional_data,8,FALSE)*Other_F_local</f>
        <v>0</v>
      </c>
      <c r="F195" s="47">
        <f>'Intermediate calcs'!J15*VLOOKUP($B$189,Other_regional_data,3,FALSE)*VLOOKUP(IF(ISBLANK($A195),$B195,$A195),Radionuclide_specific,8,FALSE)*VLOOKUP($B$189,Other_regional_data,9,FALSE)*Other_F_local</f>
        <v>2.2746238436860324E-14</v>
      </c>
      <c r="G195" s="46">
        <f t="shared" si="165"/>
        <v>0</v>
      </c>
      <c r="H195" s="46">
        <f t="shared" si="166"/>
        <v>7.6328378280323278E-14</v>
      </c>
      <c r="I195" s="47">
        <f>'Intermediate calcs'!E15*VLOOKUP(IF(ISBLANK($A195),$B195,$A195),Radionuclide_specific,8,FALSE)*VLOOKUP($B$189,Other_regional_data,4,FALSE)*Other_F_local</f>
        <v>1.9940239043824701E-11</v>
      </c>
      <c r="J195" s="47">
        <f>'Intermediate calcs'!F15*VLOOKUP(IF(ISBLANK($A195),$B195,$A195),Radionuclide_specific,8,FALSE)*VLOOKUP($B$189,Other_regional_data,4,FALSE)*Other_F_local</f>
        <v>1.8200000000000001E-13</v>
      </c>
      <c r="K195" s="46">
        <f t="shared" si="164"/>
        <v>2.0790000000000003E-11</v>
      </c>
      <c r="L195" s="46">
        <f t="shared" si="164"/>
        <v>2.0790000000000003E-13</v>
      </c>
      <c r="M195" s="47">
        <f t="shared" si="164"/>
        <v>5.7168720000000014E-16</v>
      </c>
      <c r="N195" s="47">
        <f t="shared" si="164"/>
        <v>5.2284960000000007E-18</v>
      </c>
      <c r="O195" s="46">
        <f t="shared" si="167"/>
        <v>4.0730810731024699E-11</v>
      </c>
      <c r="P195" s="46">
        <f t="shared" si="168"/>
        <v>4.6623360677632334E-13</v>
      </c>
    </row>
    <row r="196" spans="1:16">
      <c r="A196" s="4" t="s">
        <v>237</v>
      </c>
      <c r="B196" s="4"/>
      <c r="C196" s="46">
        <f>'Intermediate calcs'!G16*VLOOKUP($B$189,Other_regional_data,2,FALSE)*VLOOKUP(IF(ISBLANK($A196),$B196,$A196),Radionuclide_specific,8,FALSE)*VLOOKUP($B$189,Other_regional_data,8,FALSE)*Other_F_local</f>
        <v>0</v>
      </c>
      <c r="D196" s="46">
        <f>'Intermediate calcs'!H16*VLOOKUP($B$189,Other_regional_data,2,FALSE)*VLOOKUP(IF(ISBLANK($A196),$B196,$A196),Radionuclide_specific,8,FALSE)*VLOOKUP($B$189,Other_regional_data,9,FALSE)*Other_F_local</f>
        <v>1.1417896740014692E-14</v>
      </c>
      <c r="E196" s="47">
        <f>'Intermediate calcs'!I16*VLOOKUP($B$189,Other_regional_data,3,FALSE)*VLOOKUP(IF(ISBLANK($A196),$B196,$A196),Radionuclide_specific,8,FALSE)*VLOOKUP($B$189,Other_regional_data,8,FALSE)*Other_F_local</f>
        <v>0</v>
      </c>
      <c r="F196" s="47">
        <f>'Intermediate calcs'!J16*VLOOKUP($B$189,Other_regional_data,3,FALSE)*VLOOKUP(IF(ISBLANK($A196),$B196,$A196),Radionuclide_specific,8,FALSE)*VLOOKUP($B$189,Other_regional_data,9,FALSE)*Other_F_local</f>
        <v>2.1996916676507625E-14</v>
      </c>
      <c r="G196" s="46">
        <f t="shared" ref="G196" si="169">C196+E196</f>
        <v>0</v>
      </c>
      <c r="H196" s="46">
        <f t="shared" ref="H196" si="170">D196+F196</f>
        <v>3.3414813416522317E-14</v>
      </c>
      <c r="I196" s="47">
        <f>'Intermediate calcs'!E16*VLOOKUP(IF(ISBLANK($A196),$B196,$A196),Radionuclide_specific,8,FALSE)*VLOOKUP($B$189,Other_regional_data,4,FALSE)*Other_F_local</f>
        <v>2.1465116279069769E-12</v>
      </c>
      <c r="J196" s="47">
        <f>'Intermediate calcs'!F16*VLOOKUP(IF(ISBLANK($A196),$B196,$A196),Radionuclide_specific,8,FALSE)*VLOOKUP($B$189,Other_regional_data,4,FALSE)*Other_F_local</f>
        <v>1.3674074074074076E-15</v>
      </c>
      <c r="K196" s="46">
        <f t="shared" si="164"/>
        <v>1.2780000000000002E-11</v>
      </c>
      <c r="L196" s="46">
        <f t="shared" si="164"/>
        <v>1.278E-13</v>
      </c>
      <c r="M196" s="47">
        <f t="shared" si="164"/>
        <v>5.2281936000000011E-9</v>
      </c>
      <c r="N196" s="47">
        <f t="shared" si="164"/>
        <v>3.3316920000000003E-12</v>
      </c>
      <c r="O196" s="46">
        <f t="shared" ref="O196" si="171">G196+I196+K196+M196</f>
        <v>5.2431201116279083E-9</v>
      </c>
      <c r="P196" s="46">
        <f t="shared" ref="P196" si="172">H196+J196+L196+N196</f>
        <v>3.49427422082393E-12</v>
      </c>
    </row>
    <row r="197" spans="1:16">
      <c r="A197" s="4" t="s">
        <v>236</v>
      </c>
      <c r="B197" s="4"/>
      <c r="C197" s="46">
        <f>'Intermediate calcs'!G17*VLOOKUP($B$189,Other_regional_data,2,FALSE)*VLOOKUP(IF(ISBLANK($A197),$B197,$A197),Radionuclide_specific,8,FALSE)*VLOOKUP($B$189,Other_regional_data,8,FALSE)*Other_F_local</f>
        <v>0</v>
      </c>
      <c r="D197" s="46">
        <f>'Intermediate calcs'!H17*VLOOKUP($B$189,Other_regional_data,2,FALSE)*VLOOKUP(IF(ISBLANK($A197),$B197,$A197),Radionuclide_specific,8,FALSE)*VLOOKUP($B$189,Other_regional_data,9,FALSE)*Other_F_local</f>
        <v>7.3445272844171485E-15</v>
      </c>
      <c r="E197" s="47">
        <f>'Intermediate calcs'!I17*VLOOKUP($B$189,Other_regional_data,3,FALSE)*VLOOKUP(IF(ISBLANK($A197),$B197,$A197),Radionuclide_specific,8,FALSE)*VLOOKUP($B$189,Other_regional_data,8,FALSE)*Other_F_local</f>
        <v>0</v>
      </c>
      <c r="F197" s="47">
        <f>'Intermediate calcs'!J17*VLOOKUP($B$189,Other_regional_data,3,FALSE)*VLOOKUP(IF(ISBLANK($A197),$B197,$A197),Radionuclide_specific,8,FALSE)*VLOOKUP($B$189,Other_regional_data,9,FALSE)*Other_F_local</f>
        <v>1.6457219328977056E-14</v>
      </c>
      <c r="G197" s="46">
        <f t="shared" ref="G197" si="173">C197+E197</f>
        <v>0</v>
      </c>
      <c r="H197" s="46">
        <f t="shared" ref="H197" si="174">D197+F197</f>
        <v>2.3801746613394206E-14</v>
      </c>
      <c r="I197" s="47">
        <f>'Intermediate calcs'!E17*VLOOKUP(IF(ISBLANK($A197),$B197,$A197),Radionuclide_specific,8,FALSE)*VLOOKUP($B$189,Other_regional_data,4,FALSE)*Other_F_local</f>
        <v>9.7223404255319153E-13</v>
      </c>
      <c r="J197" s="47">
        <f>'Intermediate calcs'!F17*VLOOKUP(IF(ISBLANK($A197),$B197,$A197),Radionuclide_specific,8,FALSE)*VLOOKUP($B$189,Other_regional_data,4,FALSE)*Other_F_local</f>
        <v>7.9469565217391307E-16</v>
      </c>
      <c r="K197" s="46">
        <f t="shared" si="164"/>
        <v>1.9980000000000002E-11</v>
      </c>
      <c r="L197" s="46">
        <f t="shared" si="164"/>
        <v>1.9980000000000004E-13</v>
      </c>
      <c r="M197" s="47">
        <f t="shared" si="164"/>
        <v>4.655340000000001E-9</v>
      </c>
      <c r="N197" s="47">
        <f t="shared" si="164"/>
        <v>3.8161800000000004E-12</v>
      </c>
      <c r="O197" s="46">
        <f t="shared" ref="O197" si="175">G197+I197+K197+M197</f>
        <v>4.6762922340425541E-9</v>
      </c>
      <c r="P197" s="46">
        <f t="shared" ref="P197" si="176">H197+J197+L197+N197</f>
        <v>4.0405764422655686E-12</v>
      </c>
    </row>
    <row r="198" spans="1:16">
      <c r="A198" s="4" t="s">
        <v>11</v>
      </c>
      <c r="B198" s="4"/>
      <c r="C198" s="46">
        <f>'Intermediate calcs'!G18*VLOOKUP($B$189,Other_regional_data,2,FALSE)*VLOOKUP(IF(ISBLANK($A198),$B198,$A198),Radionuclide_specific,8,FALSE)*VLOOKUP($B$189,Other_regional_data,8,FALSE)*Other_F_local</f>
        <v>0</v>
      </c>
      <c r="D198" s="46">
        <f>'Intermediate calcs'!H18*VLOOKUP($B$189,Other_regional_data,2,FALSE)*VLOOKUP(IF(ISBLANK($A198),$B198,$A198),Radionuclide_specific,8,FALSE)*VLOOKUP($B$189,Other_regional_data,9,FALSE)*Other_F_local</f>
        <v>6.7236527974597157E-14</v>
      </c>
      <c r="E198" s="47">
        <f>'Intermediate calcs'!I18*VLOOKUP($B$189,Other_regional_data,3,FALSE)*VLOOKUP(IF(ISBLANK($A198),$B198,$A198),Radionuclide_specific,8,FALSE)*VLOOKUP($B$189,Other_regional_data,8,FALSE)*Other_F_local</f>
        <v>0</v>
      </c>
      <c r="F198" s="47">
        <f>'Intermediate calcs'!J18*VLOOKUP($B$189,Other_regional_data,3,FALSE)*VLOOKUP(IF(ISBLANK($A198),$B198,$A198),Radionuclide_specific,8,FALSE)*VLOOKUP($B$189,Other_regional_data,9,FALSE)*Other_F_local</f>
        <v>1.2166871916496082E-13</v>
      </c>
      <c r="G198" s="46">
        <f t="shared" si="165"/>
        <v>0</v>
      </c>
      <c r="H198" s="46">
        <f t="shared" si="166"/>
        <v>1.8890524713955798E-13</v>
      </c>
      <c r="I198" s="47">
        <f>'Intermediate calcs'!E18*VLOOKUP(IF(ISBLANK($A198),$B198,$A198),Radionuclide_specific,8,FALSE)*VLOOKUP($B$189,Other_regional_data,4,FALSE)*Other_F_local</f>
        <v>4.4670212765957441E-12</v>
      </c>
      <c r="J198" s="47">
        <f>'Intermediate calcs'!F18*VLOOKUP(IF(ISBLANK($A198),$B198,$A198),Radionuclide_specific,8,FALSE)*VLOOKUP($B$189,Other_regional_data,4,FALSE)*Other_F_local</f>
        <v>3.6513043478260871E-15</v>
      </c>
      <c r="K198" s="46">
        <f t="shared" si="164"/>
        <v>9.1800000000000009E-11</v>
      </c>
      <c r="L198" s="46">
        <f t="shared" si="164"/>
        <v>9.1800000000000013E-13</v>
      </c>
      <c r="M198" s="47">
        <f t="shared" si="164"/>
        <v>1.162512E-8</v>
      </c>
      <c r="N198" s="47">
        <f t="shared" si="164"/>
        <v>9.4888800000000007E-12</v>
      </c>
      <c r="O198" s="46">
        <f t="shared" si="167"/>
        <v>1.1721387021276596E-8</v>
      </c>
      <c r="P198" s="46">
        <f t="shared" si="168"/>
        <v>1.0599436551487384E-11</v>
      </c>
    </row>
    <row r="199" spans="1:16">
      <c r="A199" s="4" t="s">
        <v>178</v>
      </c>
      <c r="B199" s="4"/>
      <c r="C199" s="46">
        <f>'Intermediate calcs'!G19*VLOOKUP($B$189,Other_regional_data,2,FALSE)*VLOOKUP(IF(ISBLANK($A199),$B199,$A199),Radionuclide_specific,8,FALSE)*VLOOKUP($B$189,Other_regional_data,8,FALSE)*Other_F_local</f>
        <v>0</v>
      </c>
      <c r="D199" s="46">
        <f>'Intermediate calcs'!H19*VLOOKUP($B$189,Other_regional_data,2,FALSE)*VLOOKUP(IF(ISBLANK($A199),$B199,$A199),Radionuclide_specific,8,FALSE)*VLOOKUP($B$189,Other_regional_data,9,FALSE)*Other_F_local</f>
        <v>1.3169329938198706E-13</v>
      </c>
      <c r="E199" s="47">
        <f>'Intermediate calcs'!I19*VLOOKUP($B$189,Other_regional_data,3,FALSE)*VLOOKUP(IF(ISBLANK($A199),$B199,$A199),Radionuclide_specific,8,FALSE)*VLOOKUP($B$189,Other_regional_data,8,FALSE)*Other_F_local</f>
        <v>0</v>
      </c>
      <c r="F199" s="47">
        <f>'Intermediate calcs'!J19*VLOOKUP($B$189,Other_regional_data,3,FALSE)*VLOOKUP(IF(ISBLANK($A199),$B199,$A199),Radionuclide_specific,8,FALSE)*VLOOKUP($B$189,Other_regional_data,9,FALSE)*Other_F_local</f>
        <v>2.0793678849787427E-13</v>
      </c>
      <c r="G199" s="46">
        <f t="shared" ref="G199" si="177">C199+E199</f>
        <v>0</v>
      </c>
      <c r="H199" s="46">
        <f t="shared" ref="H199" si="178">D199+F199</f>
        <v>3.3963008787986133E-13</v>
      </c>
      <c r="I199" s="47">
        <f>'Intermediate calcs'!E19*VLOOKUP(IF(ISBLANK($A199),$B199,$A199),Radionuclide_specific,8,FALSE)*VLOOKUP($B$189,Other_regional_data,4,FALSE)*Other_F_local</f>
        <v>4.2668316831683172E-10</v>
      </c>
      <c r="J199" s="47">
        <f>'Intermediate calcs'!F19*VLOOKUP(IF(ISBLANK($A199),$B199,$A199),Radionuclide_specific,8,FALSE)*VLOOKUP($B$189,Other_regional_data,4,FALSE)*Other_F_local</f>
        <v>3.4476000000000008E-12</v>
      </c>
      <c r="K199" s="46">
        <f t="shared" si="164"/>
        <v>1.0530000000000001E-10</v>
      </c>
      <c r="L199" s="46">
        <f t="shared" si="164"/>
        <v>1.0530000000000001E-12</v>
      </c>
      <c r="M199" s="47">
        <f t="shared" si="164"/>
        <v>5.7726864000000016E-11</v>
      </c>
      <c r="N199" s="47">
        <f t="shared" si="164"/>
        <v>4.6625544000000009E-13</v>
      </c>
      <c r="O199" s="46">
        <f t="shared" ref="O199" si="179">G199+I199+K199+M199</f>
        <v>5.8971003231683172E-10</v>
      </c>
      <c r="P199" s="46">
        <f t="shared" ref="P199" si="180">H199+J199+L199+N199</f>
        <v>5.3064855278798618E-12</v>
      </c>
    </row>
    <row r="200" spans="1:16">
      <c r="A200" s="4" t="s">
        <v>17</v>
      </c>
      <c r="B200" s="4"/>
      <c r="C200" s="46">
        <f>'Intermediate calcs'!G20*VLOOKUP($B$189,Other_regional_data,2,FALSE)*VLOOKUP(IF(ISBLANK($A200),$B200,$A200),Radionuclide_specific,8,FALSE)*VLOOKUP($B$189,Other_regional_data,8,FALSE)*Other_F_local</f>
        <v>0</v>
      </c>
      <c r="D200" s="46">
        <f>'Intermediate calcs'!H20*VLOOKUP($B$189,Other_regional_data,2,FALSE)*VLOOKUP(IF(ISBLANK($A200),$B200,$A200),Radionuclide_specific,8,FALSE)*VLOOKUP($B$189,Other_regional_data,9,FALSE)*Other_F_local</f>
        <v>3.7036058639059456E-12</v>
      </c>
      <c r="E200" s="47">
        <f>'Intermediate calcs'!I20*VLOOKUP($B$189,Other_regional_data,3,FALSE)*VLOOKUP(IF(ISBLANK($A200),$B200,$A200),Radionuclide_specific,8,FALSE)*VLOOKUP($B$189,Other_regional_data,8,FALSE)*Other_F_local</f>
        <v>0</v>
      </c>
      <c r="F200" s="47">
        <f>'Intermediate calcs'!J20*VLOOKUP($B$189,Other_regional_data,3,FALSE)*VLOOKUP(IF(ISBLANK($A200),$B200,$A200),Radionuclide_specific,8,FALSE)*VLOOKUP($B$189,Other_regional_data,9,FALSE)*Other_F_local</f>
        <v>4.8753947869101966E-12</v>
      </c>
      <c r="G200" s="46">
        <f t="shared" si="165"/>
        <v>0</v>
      </c>
      <c r="H200" s="46">
        <f t="shared" si="166"/>
        <v>8.5790006508161422E-12</v>
      </c>
      <c r="I200" s="47">
        <f>'Intermediate calcs'!E20*VLOOKUP(IF(ISBLANK($A200),$B200,$A200),Radionuclide_specific,8,FALSE)*VLOOKUP($B$189,Other_regional_data,4,FALSE)*Other_F_local</f>
        <v>2.5771484374999997E-12</v>
      </c>
      <c r="J200" s="47">
        <f>'Intermediate calcs'!F20*VLOOKUP(IF(ISBLANK($A200),$B200,$A200),Radionuclide_specific,8,FALSE)*VLOOKUP($B$189,Other_regional_data,4,FALSE)*Other_F_local</f>
        <v>1.6493749999999998E-14</v>
      </c>
      <c r="K200" s="46">
        <f t="shared" si="164"/>
        <v>1.1340000000000002E-9</v>
      </c>
      <c r="L200" s="46">
        <f t="shared" si="164"/>
        <v>1.1340000000000001E-11</v>
      </c>
      <c r="M200" s="47">
        <f t="shared" si="164"/>
        <v>4.1446080000000009E-13</v>
      </c>
      <c r="N200" s="47">
        <f t="shared" si="164"/>
        <v>2.6532576000000005E-15</v>
      </c>
      <c r="O200" s="46">
        <f t="shared" si="167"/>
        <v>1.1369916092375003E-9</v>
      </c>
      <c r="P200" s="46">
        <f t="shared" si="168"/>
        <v>1.9938147658416146E-11</v>
      </c>
    </row>
    <row r="201" spans="1:16">
      <c r="A201" s="4"/>
      <c r="B201" s="4" t="s">
        <v>105</v>
      </c>
      <c r="C201" s="46">
        <f>'Intermediate calcs'!G21*VLOOKUP($B$189,Other_regional_data,2,FALSE)*VLOOKUP(IF(ISBLANK($A201),$B201,$A201),Radionuclide_specific,8,FALSE)*VLOOKUP($B$189,Other_regional_data,8,FALSE)*Other_F_local</f>
        <v>0</v>
      </c>
      <c r="D201" s="46">
        <f>'Intermediate calcs'!H21*VLOOKUP($B$189,Other_regional_data,2,FALSE)*VLOOKUP(IF(ISBLANK($A201),$B201,$A201),Radionuclide_specific,8,FALSE)*VLOOKUP($B$189,Other_regional_data,9,FALSE)*Other_F_local</f>
        <v>0</v>
      </c>
      <c r="E201" s="47">
        <f>'Intermediate calcs'!I21*VLOOKUP($B$189,Other_regional_data,3,FALSE)*VLOOKUP(IF(ISBLANK($A201),$B201,$A201),Radionuclide_specific,8,FALSE)*VLOOKUP($B$189,Other_regional_data,8,FALSE)*Other_F_local</f>
        <v>0</v>
      </c>
      <c r="F201" s="47">
        <f>'Intermediate calcs'!J21*VLOOKUP($B$189,Other_regional_data,3,FALSE)*VLOOKUP(IF(ISBLANK($A201),$B201,$A201),Radionuclide_specific,8,FALSE)*VLOOKUP($B$189,Other_regional_data,9,FALSE)*Other_F_local</f>
        <v>0</v>
      </c>
      <c r="G201" s="46">
        <f t="shared" si="165"/>
        <v>0</v>
      </c>
      <c r="H201" s="46">
        <f t="shared" si="166"/>
        <v>0</v>
      </c>
      <c r="I201" s="47">
        <f>'Intermediate calcs'!E21*VLOOKUP(IF(ISBLANK($A201),$B201,$A201),Radionuclide_specific,8,FALSE)*VLOOKUP($B$189,Other_regional_data,4,FALSE)*Other_F_local</f>
        <v>0</v>
      </c>
      <c r="J201" s="47">
        <f>'Intermediate calcs'!F21*VLOOKUP(IF(ISBLANK($A201),$B201,$A201),Radionuclide_specific,8,FALSE)*VLOOKUP($B$189,Other_regional_data,4,FALSE)*Other_F_local</f>
        <v>0</v>
      </c>
      <c r="K201" s="46">
        <f t="shared" si="164"/>
        <v>0</v>
      </c>
      <c r="L201" s="46">
        <f t="shared" si="164"/>
        <v>0</v>
      </c>
      <c r="M201" s="47">
        <f t="shared" si="164"/>
        <v>2.7799200000000001E-11</v>
      </c>
      <c r="N201" s="47">
        <f t="shared" si="164"/>
        <v>1.7796240000000005E-13</v>
      </c>
      <c r="O201" s="46">
        <f t="shared" si="167"/>
        <v>2.7799200000000001E-11</v>
      </c>
      <c r="P201" s="46">
        <f t="shared" si="168"/>
        <v>1.7796240000000005E-13</v>
      </c>
    </row>
    <row r="202" spans="1:16">
      <c r="A202" s="4" t="s">
        <v>66</v>
      </c>
      <c r="B202" s="4"/>
      <c r="C202" s="46">
        <f>'Intermediate calcs'!G22*VLOOKUP($B$189,Other_regional_data,2,FALSE)*VLOOKUP(IF(ISBLANK($A202),$B202,$A202),Radionuclide_specific,8,FALSE)*VLOOKUP($B$189,Other_regional_data,8,FALSE)*Other_F_local</f>
        <v>0</v>
      </c>
      <c r="D202" s="46">
        <f>'Intermediate calcs'!H22*VLOOKUP($B$189,Other_regional_data,2,FALSE)*VLOOKUP(IF(ISBLANK($A202),$B202,$A202),Radionuclide_specific,8,FALSE)*VLOOKUP($B$189,Other_regional_data,9,FALSE)*Other_F_local</f>
        <v>1.2771955341678469E-14</v>
      </c>
      <c r="E202" s="47">
        <f>'Intermediate calcs'!I22*VLOOKUP($B$189,Other_regional_data,3,FALSE)*VLOOKUP(IF(ISBLANK($A202),$B202,$A202),Radionuclide_specific,8,FALSE)*VLOOKUP($B$189,Other_regional_data,8,FALSE)*Other_F_local</f>
        <v>0</v>
      </c>
      <c r="F202" s="47">
        <f>'Intermediate calcs'!J22*VLOOKUP($B$189,Other_regional_data,3,FALSE)*VLOOKUP(IF(ISBLANK($A202),$B202,$A202),Radionuclide_specific,8,FALSE)*VLOOKUP($B$189,Other_regional_data,9,FALSE)*Other_F_local</f>
        <v>1.748417440822967E-13</v>
      </c>
      <c r="G202" s="46">
        <f t="shared" si="165"/>
        <v>0</v>
      </c>
      <c r="H202" s="46">
        <f t="shared" si="166"/>
        <v>1.8761369942397517E-13</v>
      </c>
      <c r="I202" s="47">
        <f>'Intermediate calcs'!E22*VLOOKUP(IF(ISBLANK($A202),$B202,$A202),Radionuclide_specific,8,FALSE)*VLOOKUP($B$189,Other_regional_data,4,FALSE)*Other_F_local</f>
        <v>7.6295731707317064E-12</v>
      </c>
      <c r="J202" s="47">
        <f>'Intermediate calcs'!F22*VLOOKUP(IF(ISBLANK($A202),$B202,$A202),Radionuclide_specific,8,FALSE)*VLOOKUP($B$189,Other_regional_data,4,FALSE)*Other_F_local</f>
        <v>7.3602941176470602E-15</v>
      </c>
      <c r="K202" s="46">
        <f t="shared" si="164"/>
        <v>1.8900000000000002E-10</v>
      </c>
      <c r="L202" s="46">
        <f t="shared" si="164"/>
        <v>1.8900000000000002E-12</v>
      </c>
      <c r="M202" s="47">
        <f t="shared" si="164"/>
        <v>0</v>
      </c>
      <c r="N202" s="47">
        <f t="shared" si="164"/>
        <v>0</v>
      </c>
      <c r="O202" s="46">
        <f t="shared" si="167"/>
        <v>1.9662957317073174E-10</v>
      </c>
      <c r="P202" s="46">
        <f t="shared" si="168"/>
        <v>2.0849739935416226E-12</v>
      </c>
    </row>
    <row r="203" spans="1:16">
      <c r="A203" s="4"/>
      <c r="B203" s="4" t="s">
        <v>106</v>
      </c>
      <c r="C203" s="46">
        <f>'Intermediate calcs'!G23*VLOOKUP($B$189,Other_regional_data,2,FALSE)*VLOOKUP(IF(ISBLANK($A203),$B203,$A203),Radionuclide_specific,8,FALSE)*VLOOKUP($B$189,Other_regional_data,8,FALSE)*Other_F_local</f>
        <v>0</v>
      </c>
      <c r="D203" s="46">
        <f>'Intermediate calcs'!H23*VLOOKUP($B$189,Other_regional_data,2,FALSE)*VLOOKUP(IF(ISBLANK($A203),$B203,$A203),Radionuclide_specific,8,FALSE)*VLOOKUP($B$189,Other_regional_data,9,FALSE)*Other_F_local</f>
        <v>0</v>
      </c>
      <c r="E203" s="47">
        <f>'Intermediate calcs'!I23*VLOOKUP($B$189,Other_regional_data,3,FALSE)*VLOOKUP(IF(ISBLANK($A203),$B203,$A203),Radionuclide_specific,8,FALSE)*VLOOKUP($B$189,Other_regional_data,8,FALSE)*Other_F_local</f>
        <v>0</v>
      </c>
      <c r="F203" s="47">
        <f>'Intermediate calcs'!J23*VLOOKUP($B$189,Other_regional_data,3,FALSE)*VLOOKUP(IF(ISBLANK($A203),$B203,$A203),Radionuclide_specific,8,FALSE)*VLOOKUP($B$189,Other_regional_data,9,FALSE)*Other_F_local</f>
        <v>0</v>
      </c>
      <c r="G203" s="46">
        <f t="shared" si="165"/>
        <v>0</v>
      </c>
      <c r="H203" s="46">
        <f t="shared" si="166"/>
        <v>0</v>
      </c>
      <c r="I203" s="47">
        <f>'Intermediate calcs'!E23*VLOOKUP(IF(ISBLANK($A203),$B203,$A203),Radionuclide_specific,8,FALSE)*VLOOKUP($B$189,Other_regional_data,4,FALSE)*Other_F_local</f>
        <v>0</v>
      </c>
      <c r="J203" s="47">
        <f>'Intermediate calcs'!F23*VLOOKUP(IF(ISBLANK($A203),$B203,$A203),Radionuclide_specific,8,FALSE)*VLOOKUP($B$189,Other_regional_data,4,FALSE)*Other_F_local</f>
        <v>0</v>
      </c>
      <c r="K203" s="46">
        <f t="shared" si="164"/>
        <v>0</v>
      </c>
      <c r="L203" s="46">
        <f t="shared" si="164"/>
        <v>0</v>
      </c>
      <c r="M203" s="47">
        <f t="shared" si="164"/>
        <v>1.45314E-9</v>
      </c>
      <c r="N203" s="47">
        <f t="shared" si="164"/>
        <v>1.4009760000000001E-12</v>
      </c>
      <c r="O203" s="46">
        <f t="shared" si="167"/>
        <v>1.45314E-9</v>
      </c>
      <c r="P203" s="46">
        <f t="shared" si="168"/>
        <v>1.4009760000000001E-12</v>
      </c>
    </row>
    <row r="204" spans="1:16">
      <c r="A204" s="4" t="s">
        <v>67</v>
      </c>
      <c r="B204" s="4"/>
      <c r="C204" s="46">
        <f>'Intermediate calcs'!G24*VLOOKUP($B$189,Other_regional_data,2,FALSE)*VLOOKUP(IF(ISBLANK($A204),$B204,$A204),Radionuclide_specific,8,FALSE)*VLOOKUP($B$189,Other_regional_data,8,FALSE)*Other_F_local</f>
        <v>0</v>
      </c>
      <c r="D204" s="46">
        <f>'Intermediate calcs'!H24*VLOOKUP($B$189,Other_regional_data,2,FALSE)*VLOOKUP(IF(ISBLANK($A204),$B204,$A204),Radionuclide_specific,8,FALSE)*VLOOKUP($B$189,Other_regional_data,9,FALSE)*Other_F_local</f>
        <v>1.2374580745158238E-11</v>
      </c>
      <c r="E204" s="47">
        <f>'Intermediate calcs'!I24*VLOOKUP($B$189,Other_regional_data,3,FALSE)*VLOOKUP(IF(ISBLANK($A204),$B204,$A204),Radionuclide_specific,8,FALSE)*VLOOKUP($B$189,Other_regional_data,8,FALSE)*Other_F_local</f>
        <v>0</v>
      </c>
      <c r="F204" s="47">
        <f>'Intermediate calcs'!J24*VLOOKUP($B$189,Other_regional_data,3,FALSE)*VLOOKUP(IF(ISBLANK($A204),$B204,$A204),Radionuclide_specific,8,FALSE)*VLOOKUP($B$189,Other_regional_data,9,FALSE)*Other_F_local</f>
        <v>6.1026493367186254E-12</v>
      </c>
      <c r="G204" s="46">
        <f t="shared" si="165"/>
        <v>0</v>
      </c>
      <c r="H204" s="46">
        <f t="shared" si="166"/>
        <v>1.8477230081876865E-11</v>
      </c>
      <c r="I204" s="47">
        <f>'Intermediate calcs'!E24*VLOOKUP(IF(ISBLANK($A204),$B204,$A204),Radionuclide_specific,8,FALSE)*VLOOKUP($B$189,Other_regional_data,4,FALSE)*Other_F_local</f>
        <v>9.8575367647058833E-11</v>
      </c>
      <c r="J204" s="47">
        <f>'Intermediate calcs'!F24*VLOOKUP(IF(ISBLANK($A204),$B204,$A204),Radionuclide_specific,8,FALSE)*VLOOKUP($B$189,Other_regional_data,4,FALSE)*Other_F_local</f>
        <v>3.3515624999999996E-13</v>
      </c>
      <c r="K204" s="46">
        <f t="shared" si="164"/>
        <v>4.4550000000000008E-9</v>
      </c>
      <c r="L204" s="46">
        <f t="shared" si="164"/>
        <v>4.4550000000000004E-11</v>
      </c>
      <c r="M204" s="47">
        <f t="shared" si="164"/>
        <v>1.7016480000000003E-11</v>
      </c>
      <c r="N204" s="47">
        <f t="shared" si="164"/>
        <v>5.7704399999999999E-14</v>
      </c>
      <c r="O204" s="46">
        <f t="shared" si="167"/>
        <v>4.5705918476470597E-9</v>
      </c>
      <c r="P204" s="46">
        <f t="shared" si="168"/>
        <v>6.3420090731876868E-11</v>
      </c>
    </row>
    <row r="205" spans="1:16">
      <c r="A205" s="4" t="s">
        <v>239</v>
      </c>
      <c r="B205" s="4"/>
      <c r="C205" s="46">
        <f>'Intermediate calcs'!G25*VLOOKUP($B$189,Other_regional_data,2,FALSE)*VLOOKUP(IF(ISBLANK($A205),$B205,$A205),Radionuclide_specific,8,FALSE)*VLOOKUP($B$189,Other_regional_data,8,FALSE)*Other_F_local</f>
        <v>0</v>
      </c>
      <c r="D205" s="46">
        <f>'Intermediate calcs'!H25*VLOOKUP($B$189,Other_regional_data,2,FALSE)*VLOOKUP(IF(ISBLANK($A205),$B205,$A205),Radionuclide_specific,8,FALSE)*VLOOKUP($B$189,Other_regional_data,9,FALSE)*Other_F_local</f>
        <v>1.5745735186059932E-14</v>
      </c>
      <c r="E205" s="47">
        <f>'Intermediate calcs'!I25*VLOOKUP($B$189,Other_regional_data,3,FALSE)*VLOOKUP(IF(ISBLANK($A205),$B205,$A205),Radionuclide_specific,8,FALSE)*VLOOKUP($B$189,Other_regional_data,8,FALSE)*Other_F_local</f>
        <v>0</v>
      </c>
      <c r="F205" s="47">
        <f>'Intermediate calcs'!J25*VLOOKUP($B$189,Other_regional_data,3,FALSE)*VLOOKUP(IF(ISBLANK($A205),$B205,$A205),Radionuclide_specific,8,FALSE)*VLOOKUP($B$189,Other_regional_data,9,FALSE)*Other_F_local</f>
        <v>1.9789779824699515E-14</v>
      </c>
      <c r="G205" s="46">
        <f t="shared" ref="G205" si="181">C205+E205</f>
        <v>0</v>
      </c>
      <c r="H205" s="46">
        <f t="shared" ref="H205" si="182">D205+F205</f>
        <v>3.5535515010759443E-14</v>
      </c>
      <c r="I205" s="47">
        <f>'Intermediate calcs'!E25*VLOOKUP(IF(ISBLANK($A205),$B205,$A205),Radionuclide_specific,8,FALSE)*VLOOKUP($B$189,Other_regional_data,4,FALSE)*Other_F_local</f>
        <v>1.7922794117647063E-12</v>
      </c>
      <c r="J205" s="47">
        <f>'Intermediate calcs'!F25*VLOOKUP(IF(ISBLANK($A205),$B205,$A205),Radionuclide_specific,8,FALSE)*VLOOKUP($B$189,Other_regional_data,4,FALSE)*Other_F_local</f>
        <v>6.0937500000000001E-15</v>
      </c>
      <c r="K205" s="46">
        <f t="shared" si="164"/>
        <v>8.1000000000000018E-11</v>
      </c>
      <c r="L205" s="46">
        <f t="shared" si="164"/>
        <v>8.1000000000000018E-13</v>
      </c>
      <c r="M205" s="47">
        <f t="shared" si="164"/>
        <v>3.1292352000000006E-10</v>
      </c>
      <c r="N205" s="47">
        <f t="shared" si="164"/>
        <v>1.0771488E-12</v>
      </c>
      <c r="O205" s="46">
        <f t="shared" ref="O205" si="183">G205+I205+K205+M205</f>
        <v>3.9571579941176479E-10</v>
      </c>
      <c r="P205" s="46">
        <f t="shared" ref="P205" si="184">H205+J205+L205+N205</f>
        <v>1.9287780650107596E-12</v>
      </c>
    </row>
    <row r="206" spans="1:16">
      <c r="A206" s="4" t="s">
        <v>177</v>
      </c>
      <c r="B206" s="4"/>
      <c r="C206" s="46">
        <f>'Intermediate calcs'!G26*VLOOKUP($B$189,Other_regional_data,2,FALSE)*VLOOKUP(IF(ISBLANK($A206),$B206,$A206),Radionuclide_specific,8,FALSE)*VLOOKUP($B$189,Other_regional_data,8,FALSE)*Other_F_local</f>
        <v>0</v>
      </c>
      <c r="D206" s="46">
        <f>'Intermediate calcs'!H26*VLOOKUP($B$189,Other_regional_data,2,FALSE)*VLOOKUP(IF(ISBLANK($A206),$B206,$A206),Radionuclide_specific,8,FALSE)*VLOOKUP($B$189,Other_regional_data,9,FALSE)*Other_F_local</f>
        <v>1.7404261084212454E-12</v>
      </c>
      <c r="E206" s="47">
        <f>'Intermediate calcs'!I26*VLOOKUP($B$189,Other_regional_data,3,FALSE)*VLOOKUP(IF(ISBLANK($A206),$B206,$A206),Radionuclide_specific,8,FALSE)*VLOOKUP($B$189,Other_regional_data,8,FALSE)*Other_F_local</f>
        <v>0</v>
      </c>
      <c r="F206" s="47">
        <f>'Intermediate calcs'!J26*VLOOKUP($B$189,Other_regional_data,3,FALSE)*VLOOKUP(IF(ISBLANK($A206),$B206,$A206),Radionuclide_specific,8,FALSE)*VLOOKUP($B$189,Other_regional_data,9,FALSE)*Other_F_local</f>
        <v>6.2515530198656355E-13</v>
      </c>
      <c r="G206" s="46">
        <f t="shared" ref="G206" si="185">C206+E206</f>
        <v>0</v>
      </c>
      <c r="H206" s="46">
        <f t="shared" ref="H206" si="186">D206+F206</f>
        <v>2.3655814104078087E-12</v>
      </c>
      <c r="I206" s="47">
        <f>'Intermediate calcs'!E26*VLOOKUP(IF(ISBLANK($A206),$B206,$A206),Radionuclide_specific,8,FALSE)*VLOOKUP($B$189,Other_regional_data,4,FALSE)*Other_F_local</f>
        <v>9.7705696202531661E-10</v>
      </c>
      <c r="J206" s="47">
        <f>'Intermediate calcs'!F26*VLOOKUP(IF(ISBLANK($A206),$B206,$A206),Radionuclide_specific,8,FALSE)*VLOOKUP($B$189,Other_regional_data,4,FALSE)*Other_F_local</f>
        <v>9.9596774193548396E-13</v>
      </c>
      <c r="K206" s="46">
        <f t="shared" si="164"/>
        <v>7.6950000000000008E-10</v>
      </c>
      <c r="L206" s="46">
        <f t="shared" si="164"/>
        <v>7.6950000000000006E-12</v>
      </c>
      <c r="M206" s="47">
        <f t="shared" si="164"/>
        <v>5.8501440000000015E-9</v>
      </c>
      <c r="N206" s="47">
        <f t="shared" si="164"/>
        <v>5.9780160000000001E-12</v>
      </c>
      <c r="O206" s="46">
        <f t="shared" ref="O206" si="187">G206+I206+K206+M206</f>
        <v>7.5967009620253184E-9</v>
      </c>
      <c r="P206" s="46">
        <f t="shared" ref="P206" si="188">H206+J206+L206+N206</f>
        <v>1.7034565152343291E-11</v>
      </c>
    </row>
    <row r="207" spans="1:16">
      <c r="A207" s="4" t="s">
        <v>12</v>
      </c>
      <c r="B207" s="4"/>
      <c r="C207" s="46">
        <f>'Intermediate calcs'!G27*VLOOKUP($B$189,Other_regional_data,2,FALSE)*VLOOKUP(IF(ISBLANK($A207),$B207,$A207),Radionuclide_specific,8,FALSE)*VLOOKUP($B$189,Other_regional_data,8,FALSE)*Other_F_local</f>
        <v>0</v>
      </c>
      <c r="D207" s="46">
        <f>'Intermediate calcs'!H27*VLOOKUP($B$189,Other_regional_data,2,FALSE)*VLOOKUP(IF(ISBLANK($A207),$B207,$A207),Radionuclide_specific,8,FALSE)*VLOOKUP($B$189,Other_regional_data,9,FALSE)*Other_F_local</f>
        <v>1.4284963781950341E-12</v>
      </c>
      <c r="E207" s="47">
        <f>'Intermediate calcs'!I27*VLOOKUP($B$189,Other_regional_data,3,FALSE)*VLOOKUP(IF(ISBLANK($A207),$B207,$A207),Radionuclide_specific,8,FALSE)*VLOOKUP($B$189,Other_regional_data,8,FALSE)*Other_F_local</f>
        <v>0</v>
      </c>
      <c r="F207" s="47">
        <f>'Intermediate calcs'!J27*VLOOKUP($B$189,Other_regional_data,3,FALSE)*VLOOKUP(IF(ISBLANK($A207),$B207,$A207),Radionuclide_specific,8,FALSE)*VLOOKUP($B$189,Other_regional_data,9,FALSE)*Other_F_local</f>
        <v>6.8375610632183888E-13</v>
      </c>
      <c r="G207" s="46">
        <f t="shared" si="165"/>
        <v>0</v>
      </c>
      <c r="H207" s="46">
        <f t="shared" si="166"/>
        <v>2.1122524845168731E-12</v>
      </c>
      <c r="I207" s="47">
        <f>'Intermediate calcs'!E27*VLOOKUP(IF(ISBLANK($A207),$B207,$A207),Radionuclide_specific,8,FALSE)*VLOOKUP($B$189,Other_regional_data,4,FALSE)*Other_F_local</f>
        <v>6.6851265822784821E-10</v>
      </c>
      <c r="J207" s="47">
        <f>'Intermediate calcs'!F27*VLOOKUP(IF(ISBLANK($A207),$B207,$A207),Radionuclide_specific,8,FALSE)*VLOOKUP($B$189,Other_regional_data,4,FALSE)*Other_F_local</f>
        <v>6.8145161290322582E-13</v>
      </c>
      <c r="K207" s="46">
        <f t="shared" si="164"/>
        <v>5.2650000000000009E-10</v>
      </c>
      <c r="L207" s="46">
        <f t="shared" si="164"/>
        <v>5.2650000000000007E-12</v>
      </c>
      <c r="M207" s="47">
        <f t="shared" si="164"/>
        <v>1.1818871999999999E-11</v>
      </c>
      <c r="N207" s="47">
        <f t="shared" si="164"/>
        <v>1.2077207999999998E-14</v>
      </c>
      <c r="O207" s="46">
        <f t="shared" si="167"/>
        <v>1.2068315302278484E-9</v>
      </c>
      <c r="P207" s="46">
        <f t="shared" si="168"/>
        <v>8.070781305420099E-12</v>
      </c>
    </row>
    <row r="208" spans="1:16">
      <c r="A208" s="4"/>
      <c r="B208" s="4" t="s">
        <v>107</v>
      </c>
      <c r="C208" s="46">
        <f>'Intermediate calcs'!G28*VLOOKUP($B$189,Other_regional_data,2,FALSE)*VLOOKUP(IF(ISBLANK($A208),$B208,$A208),Radionuclide_specific,8,FALSE)*VLOOKUP($B$189,Other_regional_data,8,FALSE)*Other_F_local</f>
        <v>0</v>
      </c>
      <c r="D208" s="46">
        <f>'Intermediate calcs'!H28*VLOOKUP($B$189,Other_regional_data,2,FALSE)*VLOOKUP(IF(ISBLANK($A208),$B208,$A208),Radionuclide_specific,8,FALSE)*VLOOKUP($B$189,Other_regional_data,9,FALSE)*Other_F_local</f>
        <v>0</v>
      </c>
      <c r="E208" s="47">
        <f>'Intermediate calcs'!I28*VLOOKUP($B$189,Other_regional_data,3,FALSE)*VLOOKUP(IF(ISBLANK($A208),$B208,$A208),Radionuclide_specific,8,FALSE)*VLOOKUP($B$189,Other_regional_data,8,FALSE)*Other_F_local</f>
        <v>0</v>
      </c>
      <c r="F208" s="47">
        <f>'Intermediate calcs'!J28*VLOOKUP($B$189,Other_regional_data,3,FALSE)*VLOOKUP(IF(ISBLANK($A208),$B208,$A208),Radionuclide_specific,8,FALSE)*VLOOKUP($B$189,Other_regional_data,9,FALSE)*Other_F_local</f>
        <v>0</v>
      </c>
      <c r="G208" s="46">
        <f t="shared" si="165"/>
        <v>0</v>
      </c>
      <c r="H208" s="46">
        <f t="shared" si="166"/>
        <v>0</v>
      </c>
      <c r="I208" s="47">
        <f>'Intermediate calcs'!E28*VLOOKUP(IF(ISBLANK($A208),$B208,$A208),Radionuclide_specific,8,FALSE)*VLOOKUP($B$189,Other_regional_data,4,FALSE)*Other_F_local</f>
        <v>0</v>
      </c>
      <c r="J208" s="47">
        <f>'Intermediate calcs'!F28*VLOOKUP(IF(ISBLANK($A208),$B208,$A208),Radionuclide_specific,8,FALSE)*VLOOKUP($B$189,Other_regional_data,4,FALSE)*Other_F_local</f>
        <v>0</v>
      </c>
      <c r="K208" s="46">
        <f t="shared" si="164"/>
        <v>0</v>
      </c>
      <c r="L208" s="46">
        <f t="shared" si="164"/>
        <v>0</v>
      </c>
      <c r="M208" s="47">
        <f t="shared" si="164"/>
        <v>2.1650829552E-9</v>
      </c>
      <c r="N208" s="47">
        <f t="shared" si="164"/>
        <v>2.2124071728000003E-12</v>
      </c>
      <c r="O208" s="46">
        <f t="shared" si="167"/>
        <v>2.1650829552E-9</v>
      </c>
      <c r="P208" s="46">
        <f t="shared" si="168"/>
        <v>2.2124071728000003E-12</v>
      </c>
    </row>
    <row r="209" spans="1:16">
      <c r="A209" s="4" t="s">
        <v>22</v>
      </c>
      <c r="B209" s="4"/>
      <c r="C209" s="46">
        <f>'Intermediate calcs'!G29*VLOOKUP($B$189,Other_regional_data,2,FALSE)*VLOOKUP(IF(ISBLANK($A209),$B209,$A209),Radionuclide_specific,8,FALSE)*VLOOKUP($B$189,Other_regional_data,8,FALSE)*Other_F_local</f>
        <v>0</v>
      </c>
      <c r="D209" s="46">
        <f>'Intermediate calcs'!H29*VLOOKUP($B$189,Other_regional_data,2,FALSE)*VLOOKUP(IF(ISBLANK($A209),$B209,$A209),Radionuclide_specific,8,FALSE)*VLOOKUP($B$189,Other_regional_data,9,FALSE)*Other_F_local</f>
        <v>5.2906789590221991E-12</v>
      </c>
      <c r="E209" s="47">
        <f>'Intermediate calcs'!I29*VLOOKUP($B$189,Other_regional_data,3,FALSE)*VLOOKUP(IF(ISBLANK($A209),$B209,$A209),Radionuclide_specific,8,FALSE)*VLOOKUP($B$189,Other_regional_data,8,FALSE)*Other_F_local</f>
        <v>0</v>
      </c>
      <c r="F209" s="47">
        <f>'Intermediate calcs'!J29*VLOOKUP($B$189,Other_regional_data,3,FALSE)*VLOOKUP(IF(ISBLANK($A209),$B209,$A209),Radionuclide_specific,8,FALSE)*VLOOKUP($B$189,Other_regional_data,9,FALSE)*Other_F_local</f>
        <v>2.3200154503227827E-11</v>
      </c>
      <c r="G209" s="46">
        <f t="shared" si="165"/>
        <v>0</v>
      </c>
      <c r="H209" s="46">
        <f t="shared" si="166"/>
        <v>2.8490833462250026E-11</v>
      </c>
      <c r="I209" s="47">
        <f>'Intermediate calcs'!E29*VLOOKUP(IF(ISBLANK($A209),$B209,$A209),Radionuclide_specific,8,FALSE)*VLOOKUP($B$189,Other_regional_data,4,FALSE)*Other_F_local</f>
        <v>4.6718749999999994E-10</v>
      </c>
      <c r="J209" s="47">
        <f>'Intermediate calcs'!F29*VLOOKUP(IF(ISBLANK($A209),$B209,$A209),Radionuclide_specific,8,FALSE)*VLOOKUP($B$189,Other_regional_data,4,FALSE)*Other_F_local</f>
        <v>9.3437500000000004E-13</v>
      </c>
      <c r="K209" s="46">
        <f t="shared" si="164"/>
        <v>1.8629999999999999E-8</v>
      </c>
      <c r="L209" s="46">
        <f t="shared" si="164"/>
        <v>1.8630000000000002E-10</v>
      </c>
      <c r="M209" s="47">
        <f t="shared" si="164"/>
        <v>3.8278655999999994E-12</v>
      </c>
      <c r="N209" s="47">
        <f t="shared" si="164"/>
        <v>7.6373279999999994E-15</v>
      </c>
      <c r="O209" s="46">
        <f t="shared" si="167"/>
        <v>1.9101015365599999E-8</v>
      </c>
      <c r="P209" s="46">
        <f t="shared" si="168"/>
        <v>2.1573284579025004E-10</v>
      </c>
    </row>
    <row r="210" spans="1:16">
      <c r="A210" s="4" t="s">
        <v>19</v>
      </c>
      <c r="B210" s="4"/>
      <c r="C210" s="46">
        <f>'Intermediate calcs'!G30*VLOOKUP($B$189,Other_regional_data,2,FALSE)*VLOOKUP(IF(ISBLANK($A210),$B210,$A210),Radionuclide_specific,8,FALSE)*VLOOKUP($B$189,Other_regional_data,8,FALSE)*Other_F_local</f>
        <v>0</v>
      </c>
      <c r="D210" s="46">
        <f>'Intermediate calcs'!H30*VLOOKUP($B$189,Other_regional_data,2,FALSE)*VLOOKUP(IF(ISBLANK($A210),$B210,$A210),Radionuclide_specific,8,FALSE)*VLOOKUP($B$189,Other_regional_data,9,FALSE)*Other_F_local</f>
        <v>1.1059326798929297E-12</v>
      </c>
      <c r="E210" s="47">
        <f>'Intermediate calcs'!I30*VLOOKUP($B$189,Other_regional_data,3,FALSE)*VLOOKUP(IF(ISBLANK($A210),$B210,$A210),Radionuclide_specific,8,FALSE)*VLOOKUP($B$189,Other_regional_data,8,FALSE)*Other_F_local</f>
        <v>0</v>
      </c>
      <c r="F210" s="47">
        <f>'Intermediate calcs'!J30*VLOOKUP($B$189,Other_regional_data,3,FALSE)*VLOOKUP(IF(ISBLANK($A210),$B210,$A210),Radionuclide_specific,8,FALSE)*VLOOKUP($B$189,Other_regional_data,9,FALSE)*Other_F_local</f>
        <v>2.7407884388285296E-11</v>
      </c>
      <c r="G210" s="46">
        <f t="shared" si="165"/>
        <v>0</v>
      </c>
      <c r="H210" s="46">
        <f t="shared" si="166"/>
        <v>2.8513817068178226E-11</v>
      </c>
      <c r="I210" s="47">
        <f>'Intermediate calcs'!E30*VLOOKUP(IF(ISBLANK($A210),$B210,$A210),Radionuclide_specific,8,FALSE)*VLOOKUP($B$189,Other_regional_data,4,FALSE)*Other_F_local</f>
        <v>7.7999999999999999E-10</v>
      </c>
      <c r="J210" s="47">
        <f>'Intermediate calcs'!F30*VLOOKUP(IF(ISBLANK($A210),$B210,$A210),Radionuclide_specific,8,FALSE)*VLOOKUP($B$189,Other_regional_data,4,FALSE)*Other_F_local</f>
        <v>6.6857142857142859E-13</v>
      </c>
      <c r="K210" s="46">
        <f t="shared" si="164"/>
        <v>3.2399999999999999E-8</v>
      </c>
      <c r="L210" s="46">
        <f t="shared" si="164"/>
        <v>3.2400000000000002E-10</v>
      </c>
      <c r="M210" s="47">
        <f t="shared" si="164"/>
        <v>3.8793168000000015E-14</v>
      </c>
      <c r="N210" s="47">
        <f t="shared" si="164"/>
        <v>3.3201359999999998E-17</v>
      </c>
      <c r="O210" s="46">
        <f t="shared" si="167"/>
        <v>3.3180038793167993E-8</v>
      </c>
      <c r="P210" s="46">
        <f t="shared" si="168"/>
        <v>3.5318242169810971E-10</v>
      </c>
    </row>
    <row r="211" spans="1:16">
      <c r="A211" s="4" t="s">
        <v>14</v>
      </c>
      <c r="B211" s="4"/>
      <c r="C211" s="46">
        <f>'Intermediate calcs'!G31*VLOOKUP($B$189,Other_regional_data,2,FALSE)*VLOOKUP(IF(ISBLANK($A211),$B211,$A211),Radionuclide_specific,8,FALSE)*VLOOKUP($B$189,Other_regional_data,8,FALSE)*Other_F_local</f>
        <v>0</v>
      </c>
      <c r="D211" s="46">
        <f>'Intermediate calcs'!H31*VLOOKUP($B$189,Other_regional_data,2,FALSE)*VLOOKUP(IF(ISBLANK($A211),$B211,$A211),Radionuclide_specific,8,FALSE)*VLOOKUP($B$189,Other_regional_data,9,FALSE)*Other_F_local</f>
        <v>1.3738340510680728E-11</v>
      </c>
      <c r="E211" s="47">
        <f>'Intermediate calcs'!I31*VLOOKUP($B$189,Other_regional_data,3,FALSE)*VLOOKUP(IF(ISBLANK($A211),$B211,$A211),Radionuclide_specific,8,FALSE)*VLOOKUP($B$189,Other_regional_data,8,FALSE)*Other_F_local</f>
        <v>0</v>
      </c>
      <c r="F211" s="47">
        <f>'Intermediate calcs'!J31*VLOOKUP($B$189,Other_regional_data,3,FALSE)*VLOOKUP(IF(ISBLANK($A211),$B211,$A211),Radionuclide_specific,8,FALSE)*VLOOKUP($B$189,Other_regional_data,9,FALSE)*Other_F_local</f>
        <v>2.0443034692699307E-11</v>
      </c>
      <c r="G211" s="46">
        <f t="shared" si="165"/>
        <v>0</v>
      </c>
      <c r="H211" s="46">
        <f t="shared" si="166"/>
        <v>3.4181375203380038E-11</v>
      </c>
      <c r="I211" s="47">
        <f>'Intermediate calcs'!E31*VLOOKUP(IF(ISBLANK($A211),$B211,$A211),Radionuclide_specific,8,FALSE)*VLOOKUP($B$189,Other_regional_data,4,FALSE)*Other_F_local</f>
        <v>3.1707317073170725E-11</v>
      </c>
      <c r="J211" s="47">
        <f>'Intermediate calcs'!F31*VLOOKUP(IF(ISBLANK($A211),$B211,$A211),Radionuclide_specific,8,FALSE)*VLOOKUP($B$189,Other_regional_data,4,FALSE)*Other_F_local</f>
        <v>7.7446808510638305E-14</v>
      </c>
      <c r="K211" s="46">
        <f t="shared" si="164"/>
        <v>7.5600000000000012E-9</v>
      </c>
      <c r="L211" s="46">
        <f t="shared" si="164"/>
        <v>7.5600000000000016E-11</v>
      </c>
      <c r="M211" s="47">
        <f t="shared" si="164"/>
        <v>8.4992544000000023E-12</v>
      </c>
      <c r="N211" s="47">
        <f t="shared" si="164"/>
        <v>2.0720232000000001E-14</v>
      </c>
      <c r="O211" s="46">
        <f t="shared" si="167"/>
        <v>7.6002065714731727E-9</v>
      </c>
      <c r="P211" s="46">
        <f t="shared" si="168"/>
        <v>1.0987954224389069E-10</v>
      </c>
    </row>
    <row r="212" spans="1:16">
      <c r="A212" s="4" t="s">
        <v>156</v>
      </c>
      <c r="B212" s="4"/>
      <c r="C212" s="46">
        <f>'Intermediate calcs'!G32*VLOOKUP($B$189,Other_regional_data,2,FALSE)*VLOOKUP(IF(ISBLANK($A212),$B212,$A212),Radionuclide_specific,8,FALSE)*VLOOKUP($B$189,Other_regional_data,8,FALSE)*Other_F_local</f>
        <v>0</v>
      </c>
      <c r="D212" s="46">
        <f>'Intermediate calcs'!H32*VLOOKUP($B$189,Other_regional_data,2,FALSE)*VLOOKUP(IF(ISBLANK($A212),$B212,$A212),Radionuclide_specific,8,FALSE)*VLOOKUP($B$189,Other_regional_data,9,FALSE)*Other_F_local</f>
        <v>3.1067977257518488E-13</v>
      </c>
      <c r="E212" s="47">
        <f>'Intermediate calcs'!I32*VLOOKUP($B$189,Other_regional_data,3,FALSE)*VLOOKUP(IF(ISBLANK($A212),$B212,$A212),Radionuclide_specific,8,FALSE)*VLOOKUP($B$189,Other_regional_data,8,FALSE)*Other_F_local</f>
        <v>0</v>
      </c>
      <c r="F212" s="47">
        <f>'Intermediate calcs'!J32*VLOOKUP($B$189,Other_regional_data,3,FALSE)*VLOOKUP(IF(ISBLANK($A212),$B212,$A212),Radionuclide_specific,8,FALSE)*VLOOKUP($B$189,Other_regional_data,9,FALSE)*Other_F_local</f>
        <v>5.3965576779247342E-12</v>
      </c>
      <c r="G212" s="46">
        <f t="shared" ref="G212" si="189">C212+E212</f>
        <v>0</v>
      </c>
      <c r="H212" s="46">
        <f t="shared" ref="H212" si="190">D212+F212</f>
        <v>5.7072374504999188E-12</v>
      </c>
      <c r="I212" s="47">
        <f>'Intermediate calcs'!E32*VLOOKUP(IF(ISBLANK($A212),$B212,$A212),Radionuclide_specific,8,FALSE)*VLOOKUP($B$189,Other_regional_data,4,FALSE)*Other_F_local</f>
        <v>8.5312499999999996E-12</v>
      </c>
      <c r="J212" s="47">
        <f>'Intermediate calcs'!F32*VLOOKUP(IF(ISBLANK($A212),$B212,$A212),Radionuclide_specific,8,FALSE)*VLOOKUP($B$189,Other_regional_data,4,FALSE)*Other_F_local</f>
        <v>4.265625E-15</v>
      </c>
      <c r="K212" s="46">
        <f t="shared" si="164"/>
        <v>3.1500000000000005E-9</v>
      </c>
      <c r="L212" s="46">
        <f t="shared" si="164"/>
        <v>3.1500000000000001E-11</v>
      </c>
      <c r="M212" s="47">
        <f t="shared" si="164"/>
        <v>5.4348840000000003E-12</v>
      </c>
      <c r="N212" s="47">
        <f t="shared" si="164"/>
        <v>2.7243215999999998E-15</v>
      </c>
      <c r="O212" s="46">
        <f t="shared" ref="O212" si="191">G212+I212+K212+M212</f>
        <v>3.1639661340000007E-9</v>
      </c>
      <c r="P212" s="46">
        <f t="shared" ref="P212" si="192">H212+J212+L212+N212</f>
        <v>3.7214227397099915E-11</v>
      </c>
    </row>
    <row r="213" spans="1:16">
      <c r="A213" s="4" t="s">
        <v>20</v>
      </c>
      <c r="B213" s="4"/>
      <c r="C213" s="46">
        <f>'Intermediate calcs'!G33*VLOOKUP($B$189,Other_regional_data,2,FALSE)*VLOOKUP(IF(ISBLANK($A213),$B213,$A213),Radionuclide_specific,8,FALSE)*VLOOKUP($B$189,Other_regional_data,8,FALSE)*Other_F_local</f>
        <v>0</v>
      </c>
      <c r="D213" s="46">
        <f>'Intermediate calcs'!H33*VLOOKUP($B$189,Other_regional_data,2,FALSE)*VLOOKUP(IF(ISBLANK($A213),$B213,$A213),Radionuclide_specific,8,FALSE)*VLOOKUP($B$189,Other_regional_data,9,FALSE)*Other_F_local</f>
        <v>3.4026832234425007E-13</v>
      </c>
      <c r="E213" s="47">
        <f>'Intermediate calcs'!I33*VLOOKUP($B$189,Other_regional_data,3,FALSE)*VLOOKUP(IF(ISBLANK($A213),$B213,$A213),Radionuclide_specific,8,FALSE)*VLOOKUP($B$189,Other_regional_data,8,FALSE)*Other_F_local</f>
        <v>0</v>
      </c>
      <c r="F213" s="47">
        <f>'Intermediate calcs'!J33*VLOOKUP($B$189,Other_regional_data,3,FALSE)*VLOOKUP(IF(ISBLANK($A213),$B213,$A213),Radionuclide_specific,8,FALSE)*VLOOKUP($B$189,Other_regional_data,9,FALSE)*Other_F_local</f>
        <v>5.9105155520128043E-12</v>
      </c>
      <c r="G213" s="46">
        <f t="shared" si="165"/>
        <v>0</v>
      </c>
      <c r="H213" s="46">
        <f t="shared" si="166"/>
        <v>6.250783874357054E-12</v>
      </c>
      <c r="I213" s="47">
        <f>'Intermediate calcs'!E33*VLOOKUP(IF(ISBLANK($A213),$B213,$A213),Radionuclide_specific,8,FALSE)*VLOOKUP($B$189,Other_regional_data,4,FALSE)*Other_F_local</f>
        <v>9.34375E-12</v>
      </c>
      <c r="J213" s="47">
        <f>'Intermediate calcs'!F33*VLOOKUP(IF(ISBLANK($A213),$B213,$A213),Radionuclide_specific,8,FALSE)*VLOOKUP($B$189,Other_regional_data,4,FALSE)*Other_F_local</f>
        <v>4.6718749999999998E-15</v>
      </c>
      <c r="K213" s="46">
        <f t="shared" si="164"/>
        <v>3.4499999999999999E-9</v>
      </c>
      <c r="L213" s="46">
        <f t="shared" si="164"/>
        <v>3.4499999999999997E-11</v>
      </c>
      <c r="M213" s="47">
        <f t="shared" si="164"/>
        <v>3.8820599999999997E-12</v>
      </c>
      <c r="N213" s="47">
        <f t="shared" si="164"/>
        <v>1.9459439999999999E-15</v>
      </c>
      <c r="O213" s="46">
        <f t="shared" si="167"/>
        <v>3.4632258099999996E-9</v>
      </c>
      <c r="P213" s="46">
        <f t="shared" si="168"/>
        <v>4.0757401693357054E-11</v>
      </c>
    </row>
    <row r="214" spans="1:16">
      <c r="A214" s="4"/>
      <c r="B214" s="4" t="s">
        <v>29</v>
      </c>
      <c r="C214" s="46">
        <f>'Intermediate calcs'!G34*VLOOKUP($B$189,Other_regional_data,2,FALSE)*VLOOKUP(IF(ISBLANK($A214),$B214,$A214),Radionuclide_specific,8,FALSE)*VLOOKUP($B$189,Other_regional_data,8,FALSE)*Other_F_local</f>
        <v>0</v>
      </c>
      <c r="D214" s="46">
        <f>'Intermediate calcs'!H34*VLOOKUP($B$189,Other_regional_data,2,FALSE)*VLOOKUP(IF(ISBLANK($A214),$B214,$A214),Radionuclide_specific,8,FALSE)*VLOOKUP($B$189,Other_regional_data,9,FALSE)*Other_F_local</f>
        <v>1.127648362068965E-11</v>
      </c>
      <c r="E214" s="47">
        <f>'Intermediate calcs'!I34*VLOOKUP($B$189,Other_regional_data,3,FALSE)*VLOOKUP(IF(ISBLANK($A214),$B214,$A214),Radionuclide_specific,8,FALSE)*VLOOKUP($B$189,Other_regional_data,8,FALSE)*Other_F_local</f>
        <v>0</v>
      </c>
      <c r="F214" s="47">
        <f>'Intermediate calcs'!J34*VLOOKUP($B$189,Other_regional_data,3,FALSE)*VLOOKUP(IF(ISBLANK($A214),$B214,$A214),Radionuclide_specific,8,FALSE)*VLOOKUP($B$189,Other_regional_data,9,FALSE)*Other_F_local</f>
        <v>2.1708715999448898E-11</v>
      </c>
      <c r="G214" s="46">
        <f t="shared" si="165"/>
        <v>0</v>
      </c>
      <c r="H214" s="46">
        <f t="shared" si="166"/>
        <v>3.2985199620138547E-11</v>
      </c>
      <c r="I214" s="47">
        <f>'Intermediate calcs'!E34*VLOOKUP(IF(ISBLANK($A214),$B214,$A214),Radionuclide_specific,8,FALSE)*VLOOKUP($B$189,Other_regional_data,4,FALSE)*Other_F_local</f>
        <v>1.86875E-11</v>
      </c>
      <c r="J214" s="47">
        <f>'Intermediate calcs'!F34*VLOOKUP(IF(ISBLANK($A214),$B214,$A214),Radionuclide_specific,8,FALSE)*VLOOKUP($B$189,Other_regional_data,4,FALSE)*Other_F_local</f>
        <v>9.3437499999999996E-15</v>
      </c>
      <c r="K214" s="46">
        <f t="shared" si="164"/>
        <v>1.8629999999999999E-8</v>
      </c>
      <c r="L214" s="46">
        <f t="shared" si="164"/>
        <v>1.8630000000000002E-10</v>
      </c>
      <c r="M214" s="47">
        <f t="shared" si="164"/>
        <v>0</v>
      </c>
      <c r="N214" s="47">
        <f t="shared" si="164"/>
        <v>0</v>
      </c>
      <c r="O214" s="46">
        <f t="shared" si="167"/>
        <v>1.8648687499999998E-8</v>
      </c>
      <c r="P214" s="46">
        <f t="shared" si="168"/>
        <v>2.1929454337013858E-10</v>
      </c>
    </row>
    <row r="215" spans="1:16">
      <c r="A215" s="4"/>
      <c r="B215" s="4" t="s">
        <v>108</v>
      </c>
      <c r="C215" s="46">
        <f>'Intermediate calcs'!G35*VLOOKUP($B$189,Other_regional_data,2,FALSE)*VLOOKUP(IF(ISBLANK($A215),$B215,$A215),Radionuclide_specific,8,FALSE)*VLOOKUP($B$189,Other_regional_data,8,FALSE)*Other_F_local</f>
        <v>0</v>
      </c>
      <c r="D215" s="46">
        <f>'Intermediate calcs'!H35*VLOOKUP($B$189,Other_regional_data,2,FALSE)*VLOOKUP(IF(ISBLANK($A215),$B215,$A215),Radionuclide_specific,8,FALSE)*VLOOKUP($B$189,Other_regional_data,9,FALSE)*Other_F_local</f>
        <v>0</v>
      </c>
      <c r="E215" s="47">
        <f>'Intermediate calcs'!I35*VLOOKUP($B$189,Other_regional_data,3,FALSE)*VLOOKUP(IF(ISBLANK($A215),$B215,$A215),Radionuclide_specific,8,FALSE)*VLOOKUP($B$189,Other_regional_data,8,FALSE)*Other_F_local</f>
        <v>0</v>
      </c>
      <c r="F215" s="47">
        <f>'Intermediate calcs'!J35*VLOOKUP($B$189,Other_regional_data,3,FALSE)*VLOOKUP(IF(ISBLANK($A215),$B215,$A215),Radionuclide_specific,8,FALSE)*VLOOKUP($B$189,Other_regional_data,9,FALSE)*Other_F_local</f>
        <v>0</v>
      </c>
      <c r="G215" s="46">
        <f t="shared" si="165"/>
        <v>0</v>
      </c>
      <c r="H215" s="46">
        <f t="shared" si="166"/>
        <v>0</v>
      </c>
      <c r="I215" s="47">
        <f>'Intermediate calcs'!E35*VLOOKUP(IF(ISBLANK($A215),$B215,$A215),Radionuclide_specific,8,FALSE)*VLOOKUP($B$189,Other_regional_data,4,FALSE)*Other_F_local</f>
        <v>4.3671875000000002E-14</v>
      </c>
      <c r="J215" s="47">
        <f>'Intermediate calcs'!F35*VLOOKUP(IF(ISBLANK($A215),$B215,$A215),Radionuclide_specific,8,FALSE)*VLOOKUP($B$189,Other_regional_data,4,FALSE)*Other_F_local</f>
        <v>2.1835937500000002E-17</v>
      </c>
      <c r="K215" s="46">
        <f t="shared" si="164"/>
        <v>1.1610000000000002E-11</v>
      </c>
      <c r="L215" s="46">
        <f t="shared" si="164"/>
        <v>1.1610000000000001E-13</v>
      </c>
      <c r="M215" s="47">
        <f t="shared" si="164"/>
        <v>8.0115480000000007E-9</v>
      </c>
      <c r="N215" s="47">
        <f t="shared" si="164"/>
        <v>4.0159152000000002E-12</v>
      </c>
      <c r="O215" s="46">
        <f t="shared" si="167"/>
        <v>8.0232016718750004E-9</v>
      </c>
      <c r="P215" s="46">
        <f t="shared" si="168"/>
        <v>4.1320370359375E-12</v>
      </c>
    </row>
    <row r="216" spans="1:16">
      <c r="A216" s="4"/>
      <c r="B216" s="4" t="s">
        <v>109</v>
      </c>
      <c r="C216" s="46">
        <f>'Intermediate calcs'!G36*VLOOKUP($B$189,Other_regional_data,2,FALSE)*VLOOKUP(IF(ISBLANK($A216),$B216,$A216),Radionuclide_specific,8,FALSE)*VLOOKUP($B$189,Other_regional_data,8,FALSE)*Other_F_local</f>
        <v>0</v>
      </c>
      <c r="D216" s="46">
        <f>'Intermediate calcs'!H36*VLOOKUP($B$189,Other_regional_data,2,FALSE)*VLOOKUP(IF(ISBLANK($A216),$B216,$A216),Radionuclide_specific,8,FALSE)*VLOOKUP($B$189,Other_regional_data,9,FALSE)*Other_F_local</f>
        <v>7.1997560699102475E-14</v>
      </c>
      <c r="E216" s="47">
        <f>'Intermediate calcs'!I36*VLOOKUP($B$189,Other_regional_data,3,FALSE)*VLOOKUP(IF(ISBLANK($A216),$B216,$A216),Radionuclide_specific,8,FALSE)*VLOOKUP($B$189,Other_regional_data,8,FALSE)*Other_F_local</f>
        <v>0</v>
      </c>
      <c r="F216" s="47">
        <f>'Intermediate calcs'!J36*VLOOKUP($B$189,Other_regional_data,3,FALSE)*VLOOKUP(IF(ISBLANK($A216),$B216,$A216),Radionuclide_specific,8,FALSE)*VLOOKUP($B$189,Other_regional_data,9,FALSE)*Other_F_local</f>
        <v>1.7810801842229564E-12</v>
      </c>
      <c r="G216" s="46">
        <f t="shared" si="165"/>
        <v>0</v>
      </c>
      <c r="H216" s="46">
        <f t="shared" si="166"/>
        <v>1.8530777449220589E-12</v>
      </c>
      <c r="I216" s="47">
        <f>'Intermediate calcs'!E36*VLOOKUP(IF(ISBLANK($A216),$B216,$A216),Radionuclide_specific,8,FALSE)*VLOOKUP($B$189,Other_regional_data,4,FALSE)*Other_F_local</f>
        <v>2.9250000000000002E-12</v>
      </c>
      <c r="J216" s="47">
        <f>'Intermediate calcs'!F36*VLOOKUP(IF(ISBLANK($A216),$B216,$A216),Radionuclide_specific,8,FALSE)*VLOOKUP($B$189,Other_regional_data,4,FALSE)*Other_F_local</f>
        <v>1.4625E-15</v>
      </c>
      <c r="K216" s="46">
        <f t="shared" si="164"/>
        <v>1.08E-9</v>
      </c>
      <c r="L216" s="46">
        <f t="shared" si="164"/>
        <v>1.0799999999999999E-11</v>
      </c>
      <c r="M216" s="47">
        <f t="shared" si="164"/>
        <v>1.8173159999999999E-11</v>
      </c>
      <c r="N216" s="47">
        <f t="shared" si="164"/>
        <v>9.1095839999999993E-15</v>
      </c>
      <c r="O216" s="46">
        <f t="shared" si="167"/>
        <v>1.1010981599999999E-9</v>
      </c>
      <c r="P216" s="46">
        <f t="shared" si="168"/>
        <v>1.2663649828922058E-11</v>
      </c>
    </row>
    <row r="217" spans="1:16">
      <c r="A217" s="4"/>
      <c r="B217" s="4" t="s">
        <v>110</v>
      </c>
      <c r="C217" s="46">
        <f>'Intermediate calcs'!G37*VLOOKUP($B$189,Other_regional_data,2,FALSE)*VLOOKUP(IF(ISBLANK($A217),$B217,$A217),Radionuclide_specific,8,FALSE)*VLOOKUP($B$189,Other_regional_data,8,FALSE)*Other_F_local</f>
        <v>0</v>
      </c>
      <c r="D217" s="46">
        <f>'Intermediate calcs'!H37*VLOOKUP($B$189,Other_regional_data,2,FALSE)*VLOOKUP(IF(ISBLANK($A217),$B217,$A217),Radionuclide_specific,8,FALSE)*VLOOKUP($B$189,Other_regional_data,9,FALSE)*Other_F_local</f>
        <v>1.8245650488112103E-16</v>
      </c>
      <c r="E217" s="47">
        <f>'Intermediate calcs'!I37*VLOOKUP($B$189,Other_regional_data,3,FALSE)*VLOOKUP(IF(ISBLANK($A217),$B217,$A217),Radionuclide_specific,8,FALSE)*VLOOKUP($B$189,Other_regional_data,8,FALSE)*Other_F_local</f>
        <v>0</v>
      </c>
      <c r="F217" s="47">
        <f>'Intermediate calcs'!J37*VLOOKUP($B$189,Other_regional_data,3,FALSE)*VLOOKUP(IF(ISBLANK($A217),$B217,$A217),Radionuclide_specific,8,FALSE)*VLOOKUP($B$189,Other_regional_data,9,FALSE)*Other_F_local</f>
        <v>4.6400309006455655E-15</v>
      </c>
      <c r="G217" s="46">
        <f t="shared" si="165"/>
        <v>0</v>
      </c>
      <c r="H217" s="46">
        <f t="shared" si="166"/>
        <v>4.8224874055266866E-15</v>
      </c>
      <c r="I217" s="47">
        <f>'Intermediate calcs'!E37*VLOOKUP(IF(ISBLANK($A217),$B217,$A217),Radionuclide_specific,8,FALSE)*VLOOKUP($B$189,Other_regional_data,4,FALSE)*Other_F_local</f>
        <v>1.0156249999999997E-12</v>
      </c>
      <c r="J217" s="47">
        <f>'Intermediate calcs'!F37*VLOOKUP(IF(ISBLANK($A217),$B217,$A217),Radionuclide_specific,8,FALSE)*VLOOKUP($B$189,Other_regional_data,4,FALSE)*Other_F_local</f>
        <v>5.0781250000000001E-16</v>
      </c>
      <c r="K217" s="46">
        <f t="shared" si="164"/>
        <v>1.6200000000000001E-10</v>
      </c>
      <c r="L217" s="46">
        <f t="shared" si="164"/>
        <v>1.6200000000000002E-12</v>
      </c>
      <c r="M217" s="47">
        <f t="shared" si="164"/>
        <v>1.1518200000000001E-9</v>
      </c>
      <c r="N217" s="47">
        <f t="shared" si="164"/>
        <v>5.7736800000000005E-13</v>
      </c>
      <c r="O217" s="46">
        <f t="shared" si="167"/>
        <v>1.314835625E-9</v>
      </c>
      <c r="P217" s="46">
        <f t="shared" si="168"/>
        <v>2.2026982999055266E-12</v>
      </c>
    </row>
    <row r="218" spans="1:16">
      <c r="A218" s="4" t="s">
        <v>111</v>
      </c>
      <c r="B218" s="4"/>
      <c r="C218" s="46">
        <f>'Intermediate calcs'!G38*VLOOKUP($B$189,Other_regional_data,2,FALSE)*VLOOKUP(IF(ISBLANK($A218),$B218,$A218),Radionuclide_specific,8,FALSE)*VLOOKUP($B$189,Other_regional_data,8,FALSE)*Other_F_local</f>
        <v>0</v>
      </c>
      <c r="D218" s="46">
        <f>'Intermediate calcs'!H38*VLOOKUP($B$189,Other_regional_data,2,FALSE)*VLOOKUP(IF(ISBLANK($A218),$B218,$A218),Radionuclide_specific,8,FALSE)*VLOOKUP($B$189,Other_regional_data,9,FALSE)*Other_F_local</f>
        <v>5.0826636185902462E-13</v>
      </c>
      <c r="E218" s="47">
        <f>'Intermediate calcs'!I38*VLOOKUP($B$189,Other_regional_data,3,FALSE)*VLOOKUP(IF(ISBLANK($A218),$B218,$A218),Radionuclide_specific,8,FALSE)*VLOOKUP($B$189,Other_regional_data,8,FALSE)*Other_F_local</f>
        <v>0</v>
      </c>
      <c r="F218" s="47">
        <f>'Intermediate calcs'!J38*VLOOKUP($B$189,Other_regional_data,3,FALSE)*VLOOKUP(IF(ISBLANK($A218),$B218,$A218),Radionuclide_specific,8,FALSE)*VLOOKUP($B$189,Other_regional_data,9,FALSE)*Other_F_local</f>
        <v>1.8123019242376525E-12</v>
      </c>
      <c r="G218" s="46">
        <f t="shared" ref="G218" si="193">C218+E218</f>
        <v>0</v>
      </c>
      <c r="H218" s="46">
        <f t="shared" ref="H218" si="194">D218+F218</f>
        <v>2.3205682860966771E-12</v>
      </c>
      <c r="I218" s="47">
        <f>'Intermediate calcs'!E38*VLOOKUP(IF(ISBLANK($A218),$B218,$A218),Radionuclide_specific,8,FALSE)*VLOOKUP($B$189,Other_regional_data,4,FALSE)*Other_F_local</f>
        <v>1.5272727272727274E-12</v>
      </c>
      <c r="J218" s="47">
        <f>'Intermediate calcs'!F38*VLOOKUP(IF(ISBLANK($A218),$B218,$A218),Radionuclide_specific,8,FALSE)*VLOOKUP($B$189,Other_regional_data,4,FALSE)*Other_F_local</f>
        <v>1.4915121951219516E-14</v>
      </c>
      <c r="K218" s="46">
        <f t="shared" si="164"/>
        <v>7.3500000000000015E-10</v>
      </c>
      <c r="L218" s="46">
        <f t="shared" si="164"/>
        <v>7.3500000000000008E-12</v>
      </c>
      <c r="M218" s="47">
        <f t="shared" si="164"/>
        <v>6.3161424000000005E-15</v>
      </c>
      <c r="N218" s="47">
        <f t="shared" si="164"/>
        <v>6.164251200000002E-17</v>
      </c>
      <c r="O218" s="46">
        <f t="shared" ref="O218" si="195">G218+I218+K218+M218</f>
        <v>7.365335888696729E-10</v>
      </c>
      <c r="P218" s="46">
        <f t="shared" ref="P218" si="196">H218+J218+L218+N218</f>
        <v>9.6855450505598959E-12</v>
      </c>
    </row>
    <row r="219" spans="1:16">
      <c r="A219" s="4" t="s">
        <v>30</v>
      </c>
      <c r="B219" s="4"/>
      <c r="C219" s="46">
        <f>'Intermediate calcs'!G39*VLOOKUP($B$189,Other_regional_data,2,FALSE)*VLOOKUP(IF(ISBLANK($A219),$B219,$A219),Radionuclide_specific,8,FALSE)*VLOOKUP($B$189,Other_regional_data,8,FALSE)*Other_F_local</f>
        <v>0</v>
      </c>
      <c r="D219" s="46">
        <f>'Intermediate calcs'!H39*VLOOKUP($B$189,Other_regional_data,2,FALSE)*VLOOKUP(IF(ISBLANK($A219),$B219,$A219),Radionuclide_specific,8,FALSE)*VLOOKUP($B$189,Other_regional_data,9,FALSE)*Other_F_local</f>
        <v>4.6677523027869612E-13</v>
      </c>
      <c r="E219" s="47">
        <f>'Intermediate calcs'!I39*VLOOKUP($B$189,Other_regional_data,3,FALSE)*VLOOKUP(IF(ISBLANK($A219),$B219,$A219),Radionuclide_specific,8,FALSE)*VLOOKUP($B$189,Other_regional_data,8,FALSE)*Other_F_local</f>
        <v>0</v>
      </c>
      <c r="F219" s="47">
        <f>'Intermediate calcs'!J39*VLOOKUP($B$189,Other_regional_data,3,FALSE)*VLOOKUP(IF(ISBLANK($A219),$B219,$A219),Radionuclide_specific,8,FALSE)*VLOOKUP($B$189,Other_regional_data,9,FALSE)*Other_F_local</f>
        <v>1.6643589100141706E-12</v>
      </c>
      <c r="G219" s="46">
        <f t="shared" si="165"/>
        <v>0</v>
      </c>
      <c r="H219" s="46">
        <f t="shared" si="166"/>
        <v>2.1311341402928667E-12</v>
      </c>
      <c r="I219" s="47">
        <f>'Intermediate calcs'!E39*VLOOKUP(IF(ISBLANK($A219),$B219,$A219),Radionuclide_specific,8,FALSE)*VLOOKUP($B$189,Other_regional_data,4,FALSE)*Other_F_local</f>
        <v>1.4025974025974029E-12</v>
      </c>
      <c r="J219" s="47">
        <f>'Intermediate calcs'!F39*VLOOKUP(IF(ISBLANK($A219),$B219,$A219),Radionuclide_specific,8,FALSE)*VLOOKUP($B$189,Other_regional_data,4,FALSE)*Other_F_local</f>
        <v>1.3697560975609759E-14</v>
      </c>
      <c r="K219" s="46">
        <f t="shared" si="164"/>
        <v>6.7500000000000005E-10</v>
      </c>
      <c r="L219" s="46">
        <f t="shared" si="164"/>
        <v>6.7499999999999993E-12</v>
      </c>
      <c r="M219" s="47">
        <f t="shared" si="164"/>
        <v>4.5592632000000009E-15</v>
      </c>
      <c r="N219" s="47">
        <f t="shared" si="164"/>
        <v>4.4496216000000007E-17</v>
      </c>
      <c r="O219" s="46">
        <f t="shared" si="167"/>
        <v>6.764071566657974E-10</v>
      </c>
      <c r="P219" s="46">
        <f t="shared" si="168"/>
        <v>8.8948761974844759E-12</v>
      </c>
    </row>
    <row r="220" spans="1:16">
      <c r="A220" s="4"/>
      <c r="B220" s="4" t="s">
        <v>31</v>
      </c>
      <c r="C220" s="46">
        <f>'Intermediate calcs'!G40*VLOOKUP($B$189,Other_regional_data,2,FALSE)*VLOOKUP(IF(ISBLANK($A220),$B220,$A220),Radionuclide_specific,8,FALSE)*VLOOKUP($B$189,Other_regional_data,8,FALSE)*Other_F_local</f>
        <v>0</v>
      </c>
      <c r="D220" s="46">
        <f>'Intermediate calcs'!H40*VLOOKUP($B$189,Other_regional_data,2,FALSE)*VLOOKUP(IF(ISBLANK($A220),$B220,$A220),Radionuclide_specific,8,FALSE)*VLOOKUP($B$189,Other_regional_data,9,FALSE)*Other_F_local</f>
        <v>2.1376141440980414E-15</v>
      </c>
      <c r="E220" s="47">
        <f>'Intermediate calcs'!I40*VLOOKUP($B$189,Other_regional_data,3,FALSE)*VLOOKUP(IF(ISBLANK($A220),$B220,$A220),Radionuclide_specific,8,FALSE)*VLOOKUP($B$189,Other_regional_data,8,FALSE)*Other_F_local</f>
        <v>0</v>
      </c>
      <c r="F220" s="47">
        <f>'Intermediate calcs'!J40*VLOOKUP($B$189,Other_regional_data,3,FALSE)*VLOOKUP(IF(ISBLANK($A220),$B220,$A220),Radionuclide_specific,8,FALSE)*VLOOKUP($B$189,Other_regional_data,9,FALSE)*Other_F_local</f>
        <v>5.4056840326982599E-14</v>
      </c>
      <c r="G220" s="46">
        <f t="shared" si="165"/>
        <v>0</v>
      </c>
      <c r="H220" s="46">
        <f t="shared" si="166"/>
        <v>5.6194454471080638E-14</v>
      </c>
      <c r="I220" s="47">
        <f>'Intermediate calcs'!E40*VLOOKUP(IF(ISBLANK($A220),$B220,$A220),Radionuclide_specific,8,FALSE)*VLOOKUP($B$189,Other_regional_data,4,FALSE)*Other_F_local</f>
        <v>6.6233766233766252E-13</v>
      </c>
      <c r="J220" s="47">
        <f>'Intermediate calcs'!F40*VLOOKUP(IF(ISBLANK($A220),$B220,$A220),Radionuclide_specific,8,FALSE)*VLOOKUP($B$189,Other_regional_data,4,FALSE)*Other_F_local</f>
        <v>6.4682926829268305E-15</v>
      </c>
      <c r="K220" s="46">
        <f t="shared" si="164"/>
        <v>5.0999999999999998E-11</v>
      </c>
      <c r="L220" s="46">
        <f t="shared" si="164"/>
        <v>5.0999999999999995E-13</v>
      </c>
      <c r="M220" s="47">
        <f t="shared" si="164"/>
        <v>8.0730216000000012E-14</v>
      </c>
      <c r="N220" s="47">
        <f t="shared" si="164"/>
        <v>7.8788808000000002E-16</v>
      </c>
      <c r="O220" s="46">
        <f t="shared" si="167"/>
        <v>5.1743067878337662E-11</v>
      </c>
      <c r="P220" s="46">
        <f t="shared" si="168"/>
        <v>5.7345063523400738E-13</v>
      </c>
    </row>
    <row r="221" spans="1:16">
      <c r="A221" s="4"/>
      <c r="B221" s="4" t="s">
        <v>32</v>
      </c>
      <c r="C221" s="46">
        <f>'Intermediate calcs'!G41*VLOOKUP($B$189,Other_regional_data,2,FALSE)*VLOOKUP(IF(ISBLANK($A221),$B221,$A221),Radionuclide_specific,8,FALSE)*VLOOKUP($B$189,Other_regional_data,8,FALSE)*Other_F_local</f>
        <v>0</v>
      </c>
      <c r="D221" s="46">
        <f>'Intermediate calcs'!H41*VLOOKUP($B$189,Other_regional_data,2,FALSE)*VLOOKUP(IF(ISBLANK($A221),$B221,$A221),Radionuclide_specific,8,FALSE)*VLOOKUP($B$189,Other_regional_data,9,FALSE)*Other_F_local</f>
        <v>0</v>
      </c>
      <c r="E221" s="47">
        <f>'Intermediate calcs'!I41*VLOOKUP($B$189,Other_regional_data,3,FALSE)*VLOOKUP(IF(ISBLANK($A221),$B221,$A221),Radionuclide_specific,8,FALSE)*VLOOKUP($B$189,Other_regional_data,8,FALSE)*Other_F_local</f>
        <v>0</v>
      </c>
      <c r="F221" s="47">
        <f>'Intermediate calcs'!J41*VLOOKUP($B$189,Other_regional_data,3,FALSE)*VLOOKUP(IF(ISBLANK($A221),$B221,$A221),Radionuclide_specific,8,FALSE)*VLOOKUP($B$189,Other_regional_data,9,FALSE)*Other_F_local</f>
        <v>0</v>
      </c>
      <c r="G221" s="46">
        <f t="shared" si="165"/>
        <v>0</v>
      </c>
      <c r="H221" s="46">
        <f t="shared" si="166"/>
        <v>0</v>
      </c>
      <c r="I221" s="47">
        <f>'Intermediate calcs'!E41*VLOOKUP(IF(ISBLANK($A221),$B221,$A221),Radionuclide_specific,8,FALSE)*VLOOKUP($B$189,Other_regional_data,4,FALSE)*Other_F_local</f>
        <v>0</v>
      </c>
      <c r="J221" s="47">
        <f>'Intermediate calcs'!F41*VLOOKUP(IF(ISBLANK($A221),$B221,$A221),Radionuclide_specific,8,FALSE)*VLOOKUP($B$189,Other_regional_data,4,FALSE)*Other_F_local</f>
        <v>0</v>
      </c>
      <c r="K221" s="46">
        <f t="shared" si="164"/>
        <v>0</v>
      </c>
      <c r="L221" s="46">
        <f t="shared" si="164"/>
        <v>0</v>
      </c>
      <c r="M221" s="47">
        <f t="shared" si="164"/>
        <v>1.1640672000000001E-12</v>
      </c>
      <c r="N221" s="47">
        <f t="shared" si="164"/>
        <v>1.1360736000000002E-14</v>
      </c>
      <c r="O221" s="46">
        <f t="shared" si="167"/>
        <v>1.1640672000000001E-12</v>
      </c>
      <c r="P221" s="46">
        <f t="shared" si="168"/>
        <v>1.1360736000000002E-14</v>
      </c>
    </row>
    <row r="222" spans="1:16">
      <c r="A222" s="4" t="s">
        <v>13</v>
      </c>
      <c r="C222" s="46">
        <f>'Intermediate calcs'!G42*VLOOKUP($B$189,Other_regional_data,2,FALSE)*VLOOKUP(IF(ISBLANK($A222),$B222,$A222),Radionuclide_specific,8,FALSE)*VLOOKUP($B$189,Other_regional_data,8,FALSE)*Other_F_local</f>
        <v>0</v>
      </c>
      <c r="D222" s="46">
        <f>'Intermediate calcs'!H42*VLOOKUP($B$189,Other_regional_data,2,FALSE)*VLOOKUP(IF(ISBLANK($A222),$B222,$A222),Radionuclide_specific,8,FALSE)*VLOOKUP($B$189,Other_regional_data,9,FALSE)*Other_F_local</f>
        <v>4.8505819293549551E-13</v>
      </c>
      <c r="E222" s="47">
        <f>'Intermediate calcs'!I42*VLOOKUP($B$189,Other_regional_data,3,FALSE)*VLOOKUP(IF(ISBLANK($A222),$B222,$A222),Radionuclide_specific,8,FALSE)*VLOOKUP($B$189,Other_regional_data,8,FALSE)*Other_F_local</f>
        <v>0</v>
      </c>
      <c r="F222" s="47">
        <f>'Intermediate calcs'!J42*VLOOKUP($B$189,Other_regional_data,3,FALSE)*VLOOKUP(IF(ISBLANK($A222),$B222,$A222),Radionuclide_specific,8,FALSE)*VLOOKUP($B$189,Other_regional_data,9,FALSE)*Other_F_local</f>
        <v>6.6045988492625811E-12</v>
      </c>
      <c r="G222" s="46">
        <f t="shared" si="165"/>
        <v>0</v>
      </c>
      <c r="H222" s="46">
        <f t="shared" si="166"/>
        <v>7.0896570421980767E-12</v>
      </c>
      <c r="I222" s="47">
        <f>'Intermediate calcs'!E42*VLOOKUP(IF(ISBLANK($A222),$B222,$A222),Radionuclide_specific,8,FALSE)*VLOOKUP($B$189,Other_regional_data,4,FALSE)*Other_F_local</f>
        <v>4.2025862068965516E-11</v>
      </c>
      <c r="J222" s="47">
        <f>'Intermediate calcs'!F42*VLOOKUP(IF(ISBLANK($A222),$B222,$A222),Radionuclide_specific,8,FALSE)*VLOOKUP($B$189,Other_regional_data,4,FALSE)*Other_F_local</f>
        <v>2.0144628099173551E-14</v>
      </c>
      <c r="K222" s="46">
        <f t="shared" ref="K222:N222" si="197">K185</f>
        <v>3.375E-9</v>
      </c>
      <c r="L222" s="46">
        <f t="shared" si="197"/>
        <v>3.3750000000000006E-11</v>
      </c>
      <c r="M222" s="47">
        <f t="shared" si="197"/>
        <v>2.5335072000000002E-12</v>
      </c>
      <c r="N222" s="47">
        <f t="shared" si="197"/>
        <v>1.2146112E-15</v>
      </c>
      <c r="O222" s="46">
        <f t="shared" si="167"/>
        <v>3.4195593692689655E-9</v>
      </c>
      <c r="P222" s="46">
        <f t="shared" si="168"/>
        <v>4.0861016281497259E-11</v>
      </c>
    </row>
    <row r="223" spans="1:16">
      <c r="A223" t="s">
        <v>18</v>
      </c>
      <c r="C223" s="46">
        <f>'Intermediate calcs'!G43*VLOOKUP($B$189,Other_regional_data,2,FALSE)*VLOOKUP(IF(ISBLANK($A223),$B223,$A223),Radionuclide_specific,8,FALSE)*VLOOKUP($B$189,Other_regional_data,8,FALSE)*Other_F_local</f>
        <v>0</v>
      </c>
      <c r="D223" s="46">
        <f>'Intermediate calcs'!H43*VLOOKUP($B$189,Other_regional_data,2,FALSE)*VLOOKUP(IF(ISBLANK($A223),$B223,$A223),Radionuclide_specific,8,FALSE)*VLOOKUP($B$189,Other_regional_data,9,FALSE)*Other_F_local</f>
        <v>4.8505819293549551E-13</v>
      </c>
      <c r="E223" s="47">
        <f>'Intermediate calcs'!I43*VLOOKUP($B$189,Other_regional_data,3,FALSE)*VLOOKUP(IF(ISBLANK($A223),$B223,$A223),Radionuclide_specific,8,FALSE)*VLOOKUP($B$189,Other_regional_data,8,FALSE)*Other_F_local</f>
        <v>0</v>
      </c>
      <c r="F223" s="47">
        <f>'Intermediate calcs'!J43*VLOOKUP($B$189,Other_regional_data,3,FALSE)*VLOOKUP(IF(ISBLANK($A223),$B223,$A223),Radionuclide_specific,8,FALSE)*VLOOKUP($B$189,Other_regional_data,9,FALSE)*Other_F_local</f>
        <v>6.6045988492625811E-12</v>
      </c>
      <c r="G223" s="46">
        <f t="shared" si="165"/>
        <v>0</v>
      </c>
      <c r="H223" s="46">
        <f t="shared" si="166"/>
        <v>7.0896570421980767E-12</v>
      </c>
      <c r="I223" s="47">
        <f>'Intermediate calcs'!E43*VLOOKUP(IF(ISBLANK($A223),$B223,$A223),Radionuclide_specific,8,FALSE)*VLOOKUP($B$189,Other_regional_data,4,FALSE)*Other_F_local</f>
        <v>4.2025862068965516E-11</v>
      </c>
      <c r="J223" s="47">
        <f>'Intermediate calcs'!F43*VLOOKUP(IF(ISBLANK($A223),$B223,$A223),Radionuclide_specific,8,FALSE)*VLOOKUP($B$189,Other_regional_data,4,FALSE)*Other_F_local</f>
        <v>2.0144628099173551E-14</v>
      </c>
      <c r="K223" s="46">
        <f t="shared" ref="K223:N223" si="198">K186</f>
        <v>3.375E-9</v>
      </c>
      <c r="L223" s="46">
        <f t="shared" si="198"/>
        <v>3.3750000000000006E-11</v>
      </c>
      <c r="M223" s="47">
        <f t="shared" si="198"/>
        <v>5.3614008000000006E-12</v>
      </c>
      <c r="N223" s="47">
        <f t="shared" si="198"/>
        <v>2.5703568000000008E-15</v>
      </c>
      <c r="O223" s="46">
        <f t="shared" si="167"/>
        <v>3.4223872628689655E-9</v>
      </c>
      <c r="P223" s="46">
        <f t="shared" si="168"/>
        <v>4.0862372027097255E-11</v>
      </c>
    </row>
    <row r="224" spans="1:16">
      <c r="A224" t="s">
        <v>9</v>
      </c>
      <c r="C224" s="46">
        <f>'Intermediate calcs'!G44*VLOOKUP($B$189,Other_regional_data,2,FALSE)*VLOOKUP(IF(ISBLANK($A224),$B224,$A224),Radionuclide_specific,8,FALSE)*VLOOKUP($B$189,Other_regional_data,8,FALSE)*Other_F_local</f>
        <v>0</v>
      </c>
      <c r="D224" s="46">
        <f>'Intermediate calcs'!H44*VLOOKUP($B$189,Other_regional_data,2,FALSE)*VLOOKUP(IF(ISBLANK($A224),$B224,$A224),Radionuclide_specific,8,FALSE)*VLOOKUP($B$189,Other_regional_data,9,FALSE)*Other_F_local</f>
        <v>5.5222009657271789E-13</v>
      </c>
      <c r="E224" s="47">
        <f>'Intermediate calcs'!I44*VLOOKUP($B$189,Other_regional_data,3,FALSE)*VLOOKUP(IF(ISBLANK($A224),$B224,$A224),Radionuclide_specific,8,FALSE)*VLOOKUP($B$189,Other_regional_data,8,FALSE)*Other_F_local</f>
        <v>0</v>
      </c>
      <c r="F224" s="47">
        <f>'Intermediate calcs'!J44*VLOOKUP($B$189,Other_regional_data,3,FALSE)*VLOOKUP(IF(ISBLANK($A224),$B224,$A224),Radionuclide_specific,8,FALSE)*VLOOKUP($B$189,Other_regional_data,9,FALSE)*Other_F_local</f>
        <v>5.4758128641158855E-12</v>
      </c>
      <c r="G224" s="46">
        <f t="shared" si="165"/>
        <v>0</v>
      </c>
      <c r="H224" s="46">
        <f t="shared" si="166"/>
        <v>6.0280329606886035E-12</v>
      </c>
      <c r="I224" s="47">
        <f>'Intermediate calcs'!E44*VLOOKUP(IF(ISBLANK($A224),$B224,$A224),Radionuclide_specific,8,FALSE)*VLOOKUP($B$189,Other_regional_data,4,FALSE)*Other_F_local</f>
        <v>4.5882352941176465E-10</v>
      </c>
      <c r="J224" s="47">
        <f>'Intermediate calcs'!F44*VLOOKUP(IF(ISBLANK($A224),$B224,$A224),Radionuclide_specific,8,FALSE)*VLOOKUP($B$189,Other_regional_data,4,FALSE)*Other_F_local</f>
        <v>2.5573770491803284E-13</v>
      </c>
      <c r="K224" s="46">
        <f t="shared" ref="K224:N224" si="199">K187</f>
        <v>2.7000000000000002E-9</v>
      </c>
      <c r="L224" s="46">
        <f t="shared" si="199"/>
        <v>2.7000000000000004E-11</v>
      </c>
      <c r="M224" s="47">
        <f t="shared" si="199"/>
        <v>1.7715456E-10</v>
      </c>
      <c r="N224" s="47">
        <f t="shared" si="199"/>
        <v>9.8642880000000008E-14</v>
      </c>
      <c r="O224" s="46">
        <f t="shared" si="167"/>
        <v>3.3359780894117648E-9</v>
      </c>
      <c r="P224" s="46">
        <f t="shared" si="168"/>
        <v>3.3382413545606641E-11</v>
      </c>
    </row>
  </sheetData>
  <mergeCells count="72">
    <mergeCell ref="A190:A191"/>
    <mergeCell ref="B190:B191"/>
    <mergeCell ref="C190:D190"/>
    <mergeCell ref="E190:F190"/>
    <mergeCell ref="G190:H190"/>
    <mergeCell ref="C189:J189"/>
    <mergeCell ref="K189:N189"/>
    <mergeCell ref="O189:P189"/>
    <mergeCell ref="I153:J153"/>
    <mergeCell ref="K190:L190"/>
    <mergeCell ref="M190:N190"/>
    <mergeCell ref="O190:P190"/>
    <mergeCell ref="I190:J190"/>
    <mergeCell ref="C152:J152"/>
    <mergeCell ref="K152:N152"/>
    <mergeCell ref="O152:P152"/>
    <mergeCell ref="I116:J116"/>
    <mergeCell ref="A153:A154"/>
    <mergeCell ref="B153:B154"/>
    <mergeCell ref="C153:D153"/>
    <mergeCell ref="E153:F153"/>
    <mergeCell ref="G153:H153"/>
    <mergeCell ref="K153:L153"/>
    <mergeCell ref="M153:N153"/>
    <mergeCell ref="O153:P153"/>
    <mergeCell ref="C115:J115"/>
    <mergeCell ref="K115:N115"/>
    <mergeCell ref="O115:P115"/>
    <mergeCell ref="A116:A117"/>
    <mergeCell ref="B116:B117"/>
    <mergeCell ref="C116:D116"/>
    <mergeCell ref="E116:F116"/>
    <mergeCell ref="G116:H116"/>
    <mergeCell ref="K116:L116"/>
    <mergeCell ref="M116:N116"/>
    <mergeCell ref="O116:P116"/>
    <mergeCell ref="C78:J78"/>
    <mergeCell ref="K78:N78"/>
    <mergeCell ref="O78:P78"/>
    <mergeCell ref="I79:J79"/>
    <mergeCell ref="K79:L79"/>
    <mergeCell ref="M79:N79"/>
    <mergeCell ref="O79:P79"/>
    <mergeCell ref="A79:A80"/>
    <mergeCell ref="B79:B80"/>
    <mergeCell ref="C79:D79"/>
    <mergeCell ref="E79:F79"/>
    <mergeCell ref="G79:H79"/>
    <mergeCell ref="C41:J41"/>
    <mergeCell ref="K41:N41"/>
    <mergeCell ref="O41:P41"/>
    <mergeCell ref="A42:A43"/>
    <mergeCell ref="B42:B43"/>
    <mergeCell ref="C42:D42"/>
    <mergeCell ref="E42:F42"/>
    <mergeCell ref="G42:H42"/>
    <mergeCell ref="I42:J42"/>
    <mergeCell ref="K42:L42"/>
    <mergeCell ref="M42:N42"/>
    <mergeCell ref="O42:P42"/>
    <mergeCell ref="C4:J4"/>
    <mergeCell ref="K5:L5"/>
    <mergeCell ref="M5:N5"/>
    <mergeCell ref="K4:N4"/>
    <mergeCell ref="O4:P4"/>
    <mergeCell ref="O5:P5"/>
    <mergeCell ref="I5:J5"/>
    <mergeCell ref="A5:A6"/>
    <mergeCell ref="B5:B6"/>
    <mergeCell ref="C5:D5"/>
    <mergeCell ref="E5:F5"/>
    <mergeCell ref="G5:H5"/>
  </mergeCells>
  <hyperlinks>
    <hyperlink ref="A2" location="Status!A1" display="Back to Status tab"/>
  </hyperlinks>
  <pageMargins left="0.25" right="0.25" top="0.75" bottom="0.75" header="0.3" footer="0.3"/>
  <pageSetup paperSize="9" orientation="landscape" r:id="rId1"/>
  <headerFooter>
    <oddHeader>&amp;CANNEX A: METHODOLOGY FOR ESTIMATING PUBLIC EXPOSURES DUE TO RADIOACTIVE DISCHARGES</oddHeader>
    <oddFooter>&amp;L&amp;F#&amp;A&amp;CPage &amp;P of &amp;N&amp;RUNSCEAR 2016 Report</oddFooter>
  </headerFooter>
  <rowBreaks count="5" manualBreakCount="5">
    <brk id="40" max="16383" man="1"/>
    <brk id="77" max="16383" man="1"/>
    <brk id="114" max="16383" man="1"/>
    <brk id="151" max="16383" man="1"/>
    <brk id="18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J261"/>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1.25"/>
  <cols>
    <col min="1" max="1" width="15.1640625" customWidth="1"/>
    <col min="2" max="2" width="18.5" customWidth="1"/>
    <col min="3" max="4" width="12.1640625" customWidth="1"/>
    <col min="11" max="16384" width="9.33203125" style="2"/>
  </cols>
  <sheetData>
    <row r="1" spans="1:10" ht="18.75">
      <c r="A1" s="1" t="s">
        <v>264</v>
      </c>
    </row>
    <row r="2" spans="1:10">
      <c r="A2" s="3" t="s">
        <v>16</v>
      </c>
    </row>
    <row r="4" spans="1:10" s="115" customFormat="1" ht="25.5" customHeight="1">
      <c r="A4" s="44" t="s">
        <v>297</v>
      </c>
      <c r="B4" s="72" t="s">
        <v>56</v>
      </c>
      <c r="C4" s="134" t="s">
        <v>153</v>
      </c>
      <c r="D4" s="134"/>
      <c r="E4" s="134" t="s">
        <v>154</v>
      </c>
      <c r="F4" s="134"/>
      <c r="G4" s="134"/>
      <c r="H4" s="134"/>
      <c r="I4" s="134" t="s">
        <v>64</v>
      </c>
      <c r="J4" s="134"/>
    </row>
    <row r="5" spans="1:10">
      <c r="A5" s="129" t="s">
        <v>149</v>
      </c>
      <c r="B5" s="129" t="s">
        <v>150</v>
      </c>
      <c r="C5" s="131" t="s">
        <v>183</v>
      </c>
      <c r="D5" s="131"/>
      <c r="E5" s="132" t="s">
        <v>184</v>
      </c>
      <c r="F5" s="132"/>
      <c r="G5" s="131" t="s">
        <v>185</v>
      </c>
      <c r="H5" s="131"/>
      <c r="I5" s="132" t="s">
        <v>186</v>
      </c>
      <c r="J5" s="132"/>
    </row>
    <row r="6" spans="1:10">
      <c r="A6" s="129"/>
      <c r="B6" s="129"/>
      <c r="C6" s="70" t="s">
        <v>73</v>
      </c>
      <c r="D6" s="70" t="s">
        <v>74</v>
      </c>
      <c r="E6" s="69" t="s">
        <v>73</v>
      </c>
      <c r="F6" s="69" t="s">
        <v>74</v>
      </c>
      <c r="G6" s="70" t="s">
        <v>73</v>
      </c>
      <c r="H6" s="70" t="s">
        <v>74</v>
      </c>
      <c r="I6" s="71" t="s">
        <v>73</v>
      </c>
      <c r="J6" s="71" t="s">
        <v>74</v>
      </c>
    </row>
    <row r="7" spans="1:10">
      <c r="A7" s="4" t="s">
        <v>33</v>
      </c>
      <c r="B7" s="4"/>
      <c r="C7" s="46">
        <f>'Intermediate calcs'!C60*VLOOKUP(IF(ISBLANK($A7),$B7,$A7),Radionuclide_specific,8,FALSE)*VLOOKUP($B$4,Other_regional_data,5,FALSE)*VLOOKUP($B$4,Interim_regional_data,5,FALSE)*VLOOKUP($B$4,Other_regional_data,8,FALSE)</f>
        <v>0</v>
      </c>
      <c r="D7" s="46">
        <f>'Intermediate calcs'!D60*VLOOKUP(IF(ISBLANK($A7),$B7,$A7),Radionuclide_specific,8,FALSE)*VLOOKUP($B$4,Other_regional_data,5,FALSE)*VLOOKUP($B$4,Interim_regional_data,6,FALSE)*VLOOKUP($B$4,Other_regional_data,9,FALSE)</f>
        <v>2.9486904560919351E-11</v>
      </c>
      <c r="E7" s="47">
        <f>'Intermediate calcs'!E12*VLOOKUP(IF(ISBLANK($A7),$B7,$A7),Radionuclide_specific,8,FALSE)*Other_Yffw_small*Other_Lriver_small</f>
        <v>1.404E-10</v>
      </c>
      <c r="F7" s="47">
        <f>'Intermediate calcs'!F12*VLOOKUP(IF(ISBLANK($A7),$B7,$A7),Radionuclide_specific,8,FALSE)*Other_Yffw_large*Other_Lriver_large</f>
        <v>7.0199999999999988E-11</v>
      </c>
      <c r="G7" s="46">
        <f t="shared" ref="G7:G39" si="0">Interim_Cuw_small*Other_Fr_small*Other_T_dw*Other_A_mun*Other_F_dw*VLOOKUP(IF(ISBLANK($A7),$B7,$A7),Radionuclide_specific,8,FALSE)*VLOOKUP(IF(ISBLANK($A7),$B7,$A7),Radionuclide_specific,13,FALSE)</f>
        <v>5.6764799999999995E-8</v>
      </c>
      <c r="H7" s="46">
        <f t="shared" ref="H7:H39" si="1">Interim_Cuw_large*Other_Fr_large*Other_T_dw*Other_A_mun*Other_F_dw*VLOOKUP(IF(ISBLANK($A7),$B7,$A7),Radionuclide_specific,8,FALSE)*VLOOKUP(IF(ISBLANK($A7),$B7,$A7),Radionuclide_specific,13,FALSE)</f>
        <v>5.6764799999999995E-8</v>
      </c>
      <c r="I7" s="47">
        <f>C7+E7+G7</f>
        <v>5.6905199999999997E-8</v>
      </c>
      <c r="J7" s="47">
        <f>D7+F7+H7</f>
        <v>5.6864486904560912E-8</v>
      </c>
    </row>
    <row r="8" spans="1:10">
      <c r="A8" s="4"/>
      <c r="B8" s="4" t="s">
        <v>43</v>
      </c>
      <c r="C8" s="46">
        <f>'Intermediate calcs'!C61*VLOOKUP(IF(ISBLANK($A8),$B8,$A8),Radionuclide_specific,8,FALSE)*VLOOKUP($B$4,Other_regional_data,5,FALSE)*VLOOKUP($B$4,Interim_regional_data,5,FALSE)*VLOOKUP($B$4,Other_regional_data,8,FALSE)</f>
        <v>0</v>
      </c>
      <c r="D8" s="46">
        <f>'Intermediate calcs'!D61*VLOOKUP(IF(ISBLANK($A8),$B8,$A8),Radionuclide_specific,8,FALSE)*VLOOKUP($B$4,Other_regional_data,5,FALSE)*VLOOKUP($B$4,Interim_regional_data,6,FALSE)*VLOOKUP($B$4,Other_regional_data,9,FALSE)</f>
        <v>1.5257703896002115E-10</v>
      </c>
      <c r="E8" s="47">
        <f>'Intermediate calcs'!E13*VLOOKUP(IF(ISBLANK($A8),$B8,$A8),Radionuclide_specific,8,FALSE)*Other_Yffw_small*Other_Lriver_small</f>
        <v>3.9639599999999992E-14</v>
      </c>
      <c r="F8" s="47">
        <f>'Intermediate calcs'!F13*VLOOKUP(IF(ISBLANK($A8),$B8,$A8),Radionuclide_specific,8,FALSE)*Other_Yffw_large*Other_Lriver_large</f>
        <v>1.9819799999999996E-14</v>
      </c>
      <c r="G8" s="46">
        <f t="shared" si="0"/>
        <v>1.3245119999999998E-7</v>
      </c>
      <c r="H8" s="46">
        <f t="shared" si="1"/>
        <v>1.3245119999999998E-7</v>
      </c>
      <c r="I8" s="47">
        <f t="shared" ref="I8:I39" si="2">C8+E8+G8</f>
        <v>1.3245123963959997E-7</v>
      </c>
      <c r="J8" s="47">
        <f t="shared" ref="J8:J39" si="3">D8+F8+H8</f>
        <v>1.3260379685876E-7</v>
      </c>
    </row>
    <row r="9" spans="1:10">
      <c r="A9" s="4" t="s">
        <v>10</v>
      </c>
      <c r="B9" s="4"/>
      <c r="C9" s="46">
        <f>'Intermediate calcs'!C62*VLOOKUP(IF(ISBLANK($A9),$B9,$A9),Radionuclide_specific,8,FALSE)*VLOOKUP($B$4,Other_regional_data,5,FALSE)*VLOOKUP($B$4,Interim_regional_data,5,FALSE)*VLOOKUP($B$4,Other_regional_data,8,FALSE)</f>
        <v>0</v>
      </c>
      <c r="D9" s="46">
        <f>'Intermediate calcs'!D62*VLOOKUP(IF(ISBLANK($A9),$B9,$A9),Radionuclide_specific,8,FALSE)*VLOOKUP($B$4,Other_regional_data,5,FALSE)*VLOOKUP($B$4,Interim_regional_data,6,FALSE)*VLOOKUP($B$4,Other_regional_data,9,FALSE)</f>
        <v>6.5368340215756922E-6</v>
      </c>
      <c r="E9" s="47">
        <f>'Intermediate calcs'!E14*VLOOKUP(IF(ISBLANK($A9),$B9,$A9),Radionuclide_specific,8,FALSE)*Other_Yffw_small*Other_Lriver_small</f>
        <v>2.3197680231976806E-3</v>
      </c>
      <c r="F9" s="47">
        <f>'Intermediate calcs'!F14*VLOOKUP(IF(ISBLANK($A9),$B9,$A9),Radionuclide_specific,8,FALSE)*Other_Yffw_large*Other_Lriver_large</f>
        <v>1.1571072319201997E-3</v>
      </c>
      <c r="G9" s="46">
        <f t="shared" si="0"/>
        <v>1.8290879999999999E-6</v>
      </c>
      <c r="H9" s="46">
        <f t="shared" si="1"/>
        <v>1.8290879999999999E-6</v>
      </c>
      <c r="I9" s="47">
        <f t="shared" si="2"/>
        <v>2.3215971111976807E-3</v>
      </c>
      <c r="J9" s="47">
        <f t="shared" si="3"/>
        <v>1.1654731539417753E-3</v>
      </c>
    </row>
    <row r="10" spans="1:10">
      <c r="A10" s="4" t="s">
        <v>240</v>
      </c>
      <c r="B10" s="4"/>
      <c r="C10" s="46">
        <f>'Intermediate calcs'!C63*VLOOKUP(IF(ISBLANK($A10),$B10,$A10),Radionuclide_specific,8,FALSE)*VLOOKUP($B$4,Other_regional_data,5,FALSE)*VLOOKUP($B$4,Interim_regional_data,5,FALSE)*VLOOKUP($B$4,Other_regional_data,8,FALSE)</f>
        <v>0</v>
      </c>
      <c r="D10" s="46">
        <f>'Intermediate calcs'!D63*VLOOKUP(IF(ISBLANK($A10),$B10,$A10),Radionuclide_specific,8,FALSE)*VLOOKUP($B$4,Other_regional_data,5,FALSE)*VLOOKUP($B$4,Interim_regional_data,6,FALSE)*VLOOKUP($B$4,Other_regional_data,9,FALSE)</f>
        <v>4.2268160536202603E-7</v>
      </c>
      <c r="E10" s="47">
        <f>'Intermediate calcs'!E15*VLOOKUP(IF(ISBLANK($A10),$B10,$A10),Radionuclide_specific,8,FALSE)*Other_Yffw_small*Other_Lriver_small</f>
        <v>6.1354581673306769E-6</v>
      </c>
      <c r="F10" s="47">
        <f>'Intermediate calcs'!F15*VLOOKUP(IF(ISBLANK($A10),$B10,$A10),Radionuclide_specific,8,FALSE)*Other_Yffw_large*Other_Lriver_large</f>
        <v>2.8000000000000003E-6</v>
      </c>
      <c r="G10" s="46">
        <f t="shared" si="0"/>
        <v>1.3112668800000002E-6</v>
      </c>
      <c r="H10" s="46">
        <f t="shared" si="1"/>
        <v>1.3112668800000002E-6</v>
      </c>
      <c r="I10" s="47">
        <f t="shared" si="2"/>
        <v>7.4467250473306775E-6</v>
      </c>
      <c r="J10" s="47">
        <f t="shared" si="3"/>
        <v>4.5339484853620265E-6</v>
      </c>
    </row>
    <row r="11" spans="1:10">
      <c r="A11" s="4" t="s">
        <v>237</v>
      </c>
      <c r="B11" s="4"/>
      <c r="C11" s="46">
        <f>'Intermediate calcs'!C64*VLOOKUP(IF(ISBLANK($A11),$B11,$A11),Radionuclide_specific,8,FALSE)*VLOOKUP($B$4,Other_regional_data,5,FALSE)*VLOOKUP($B$4,Interim_regional_data,5,FALSE)*VLOOKUP($B$4,Other_regional_data,8,FALSE)</f>
        <v>0</v>
      </c>
      <c r="D11" s="46">
        <f>'Intermediate calcs'!D64*VLOOKUP(IF(ISBLANK($A11),$B11,$A11),Radionuclide_specific,8,FALSE)*VLOOKUP($B$4,Other_regional_data,5,FALSE)*VLOOKUP($B$4,Interim_regional_data,6,FALSE)*VLOOKUP($B$4,Other_regional_data,9,FALSE)</f>
        <v>9.0069843011617704E-8</v>
      </c>
      <c r="E11" s="47">
        <f>'Intermediate calcs'!E16*VLOOKUP(IF(ISBLANK($A11),$B11,$A11),Radionuclide_specific,8,FALSE)*Other_Yffw_small*Other_Lriver_small</f>
        <v>6.6046511627906978E-7</v>
      </c>
      <c r="F11" s="47">
        <f>'Intermediate calcs'!F16*VLOOKUP(IF(ISBLANK($A11),$B11,$A11),Radionuclide_specific,8,FALSE)*Other_Yffw_large*Other_Lriver_large</f>
        <v>2.1037037037037039E-8</v>
      </c>
      <c r="G11" s="46">
        <f t="shared" si="0"/>
        <v>8.060601599999999E-7</v>
      </c>
      <c r="H11" s="46">
        <f t="shared" si="1"/>
        <v>8.060601599999999E-7</v>
      </c>
      <c r="I11" s="47">
        <f t="shared" ref="I11" si="4">C11+E11+G11</f>
        <v>1.4665252762790697E-6</v>
      </c>
      <c r="J11" s="47">
        <f t="shared" ref="J11" si="5">D11+F11+H11</f>
        <v>9.1716704004865459E-7</v>
      </c>
    </row>
    <row r="12" spans="1:10">
      <c r="A12" s="4" t="s">
        <v>236</v>
      </c>
      <c r="B12" s="4"/>
      <c r="C12" s="46">
        <f>'Intermediate calcs'!C65*VLOOKUP(IF(ISBLANK($A12),$B12,$A12),Radionuclide_specific,8,FALSE)*VLOOKUP($B$4,Other_regional_data,5,FALSE)*VLOOKUP($B$4,Interim_regional_data,5,FALSE)*VLOOKUP($B$4,Other_regional_data,8,FALSE)</f>
        <v>0</v>
      </c>
      <c r="D12" s="46">
        <f>'Intermediate calcs'!D65*VLOOKUP(IF(ISBLANK($A12),$B12,$A12),Radionuclide_specific,8,FALSE)*VLOOKUP($B$4,Other_regional_data,5,FALSE)*VLOOKUP($B$4,Interim_regional_data,6,FALSE)*VLOOKUP($B$4,Other_regional_data,9,FALSE)</f>
        <v>5.7937152048648166E-8</v>
      </c>
      <c r="E12" s="47">
        <f>'Intermediate calcs'!E17*VLOOKUP(IF(ISBLANK($A12),$B12,$A12),Radionuclide_specific,8,FALSE)*Other_Yffw_small*Other_Lriver_small</f>
        <v>2.9914893617021279E-7</v>
      </c>
      <c r="F12" s="47">
        <f>'Intermediate calcs'!F17*VLOOKUP(IF(ISBLANK($A12),$B12,$A12),Radionuclide_specific,8,FALSE)*Other_Yffw_large*Other_Lriver_large</f>
        <v>1.222608695652174E-8</v>
      </c>
      <c r="G12" s="46">
        <f t="shared" si="0"/>
        <v>1.2601785600000002E-6</v>
      </c>
      <c r="H12" s="46">
        <f t="shared" si="1"/>
        <v>1.2601785600000002E-6</v>
      </c>
      <c r="I12" s="47">
        <f t="shared" ref="I12" si="6">C12+E12+G12</f>
        <v>1.559327496170213E-6</v>
      </c>
      <c r="J12" s="47">
        <f t="shared" ref="J12" si="7">D12+F12+H12</f>
        <v>1.3303417990051702E-6</v>
      </c>
    </row>
    <row r="13" spans="1:10">
      <c r="A13" s="4" t="s">
        <v>11</v>
      </c>
      <c r="B13" s="4"/>
      <c r="C13" s="46">
        <f>'Intermediate calcs'!C66*VLOOKUP(IF(ISBLANK($A13),$B13,$A13),Radionuclide_specific,8,FALSE)*VLOOKUP($B$4,Other_regional_data,5,FALSE)*VLOOKUP($B$4,Interim_regional_data,5,FALSE)*VLOOKUP($B$4,Other_regional_data,8,FALSE)</f>
        <v>0</v>
      </c>
      <c r="D13" s="46">
        <f>'Intermediate calcs'!D66*VLOOKUP(IF(ISBLANK($A13),$B13,$A13),Radionuclide_specific,8,FALSE)*VLOOKUP($B$4,Other_regional_data,5,FALSE)*VLOOKUP($B$4,Interim_regional_data,6,FALSE)*VLOOKUP($B$4,Other_regional_data,9,FALSE)</f>
        <v>5.3039396459898385E-7</v>
      </c>
      <c r="E13" s="47">
        <f>'Intermediate calcs'!E18*VLOOKUP(IF(ISBLANK($A13),$B13,$A13),Radionuclide_specific,8,FALSE)*Other_Yffw_small*Other_Lriver_small</f>
        <v>1.3744680851063828E-6</v>
      </c>
      <c r="F13" s="47">
        <f>'Intermediate calcs'!F18*VLOOKUP(IF(ISBLANK($A13),$B13,$A13),Radionuclide_specific,8,FALSE)*Other_Yffw_large*Other_Lriver_large</f>
        <v>5.6173913043478253E-8</v>
      </c>
      <c r="G13" s="46">
        <f t="shared" si="0"/>
        <v>5.7900096000000006E-6</v>
      </c>
      <c r="H13" s="46">
        <f t="shared" si="1"/>
        <v>5.7900096000000006E-6</v>
      </c>
      <c r="I13" s="47">
        <f t="shared" si="2"/>
        <v>7.1644776851063831E-6</v>
      </c>
      <c r="J13" s="47">
        <f t="shared" si="3"/>
        <v>6.3765774776424631E-6</v>
      </c>
    </row>
    <row r="14" spans="1:10">
      <c r="A14" s="4" t="s">
        <v>178</v>
      </c>
      <c r="B14" s="4"/>
      <c r="C14" s="46">
        <f>'Intermediate calcs'!C67*VLOOKUP(IF(ISBLANK($A14),$B14,$A14),Radionuclide_specific,8,FALSE)*VLOOKUP($B$4,Other_regional_data,5,FALSE)*VLOOKUP($B$4,Interim_regional_data,5,FALSE)*VLOOKUP($B$4,Other_regional_data,8,FALSE)</f>
        <v>0</v>
      </c>
      <c r="D14" s="46">
        <f>'Intermediate calcs'!D67*VLOOKUP(IF(ISBLANK($A14),$B14,$A14),Radionuclide_specific,8,FALSE)*VLOOKUP($B$4,Other_regional_data,5,FALSE)*VLOOKUP($B$4,Interim_regional_data,6,FALSE)*VLOOKUP($B$4,Other_regional_data,9,FALSE)</f>
        <v>1.0388598768324717E-6</v>
      </c>
      <c r="E14" s="47">
        <f>'Intermediate calcs'!E19*VLOOKUP(IF(ISBLANK($A14),$B14,$A14),Radionuclide_specific,8,FALSE)*Other_Yffw_small*Other_Lriver_small</f>
        <v>1.3128712871287129E-4</v>
      </c>
      <c r="F14" s="47">
        <f>'Intermediate calcs'!F19*VLOOKUP(IF(ISBLANK($A14),$B14,$A14),Radionuclide_specific,8,FALSE)*Other_Yffw_large*Other_Lriver_large</f>
        <v>5.3040000000000007E-5</v>
      </c>
      <c r="G14" s="46">
        <f t="shared" si="0"/>
        <v>6.6414816E-6</v>
      </c>
      <c r="H14" s="46">
        <f t="shared" si="1"/>
        <v>6.6414816E-6</v>
      </c>
      <c r="I14" s="47">
        <f t="shared" ref="I14" si="8">C14+E14+G14</f>
        <v>1.3792861031287128E-4</v>
      </c>
      <c r="J14" s="47">
        <f t="shared" ref="J14" si="9">D14+F14+H14</f>
        <v>6.0720341476832475E-5</v>
      </c>
    </row>
    <row r="15" spans="1:10">
      <c r="A15" s="4" t="s">
        <v>17</v>
      </c>
      <c r="B15" s="4"/>
      <c r="C15" s="46">
        <f>'Intermediate calcs'!C68*VLOOKUP(IF(ISBLANK($A15),$B15,$A15),Radionuclide_specific,8,FALSE)*VLOOKUP($B$4,Other_regional_data,5,FALSE)*VLOOKUP($B$4,Interim_regional_data,5,FALSE)*VLOOKUP($B$4,Other_regional_data,8,FALSE)</f>
        <v>0</v>
      </c>
      <c r="D15" s="46">
        <f>'Intermediate calcs'!D68*VLOOKUP(IF(ISBLANK($A15),$B15,$A15),Radionuclide_specific,8,FALSE)*VLOOKUP($B$4,Other_regional_data,5,FALSE)*VLOOKUP($B$4,Interim_regional_data,6,FALSE)*VLOOKUP($B$4,Other_regional_data,9,FALSE)</f>
        <v>2.9215818493948471E-5</v>
      </c>
      <c r="E15" s="47">
        <f>'Intermediate calcs'!E20*VLOOKUP(IF(ISBLANK($A15),$B15,$A15),Radionuclide_specific,8,FALSE)*Other_Yffw_small*Other_Lriver_small</f>
        <v>7.929687499999999E-7</v>
      </c>
      <c r="F15" s="47">
        <f>'Intermediate calcs'!F20*VLOOKUP(IF(ISBLANK($A15),$B15,$A15),Radionuclide_specific,8,FALSE)*Other_Yffw_large*Other_Lriver_large</f>
        <v>2.5374999999999995E-7</v>
      </c>
      <c r="G15" s="46">
        <f t="shared" si="0"/>
        <v>7.1523647999999999E-5</v>
      </c>
      <c r="H15" s="46">
        <f t="shared" si="1"/>
        <v>7.1523647999999999E-5</v>
      </c>
      <c r="I15" s="47">
        <f t="shared" si="2"/>
        <v>7.2316616749999992E-5</v>
      </c>
      <c r="J15" s="47">
        <f t="shared" si="3"/>
        <v>1.0099321649394847E-4</v>
      </c>
    </row>
    <row r="16" spans="1:10">
      <c r="A16" s="4"/>
      <c r="B16" s="4" t="s">
        <v>105</v>
      </c>
      <c r="C16" s="46">
        <f>'Intermediate calcs'!C69*VLOOKUP(IF(ISBLANK($A16),$B16,$A16),Radionuclide_specific,8,FALSE)*VLOOKUP($B$4,Other_regional_data,5,FALSE)*VLOOKUP($B$4,Interim_regional_data,5,FALSE)*VLOOKUP($B$4,Other_regional_data,8,FALSE)</f>
        <v>0</v>
      </c>
      <c r="D16" s="46">
        <f>'Intermediate calcs'!D69*VLOOKUP(IF(ISBLANK($A16),$B16,$A16),Radionuclide_specific,8,FALSE)*VLOOKUP($B$4,Other_regional_data,5,FALSE)*VLOOKUP($B$4,Interim_regional_data,6,FALSE)*VLOOKUP($B$4,Other_regional_data,9,FALSE)</f>
        <v>0</v>
      </c>
      <c r="E16" s="47">
        <f>'Intermediate calcs'!E21*VLOOKUP(IF(ISBLANK($A16),$B16,$A16),Radionuclide_specific,8,FALSE)*Other_Yffw_small*Other_Lriver_small</f>
        <v>0</v>
      </c>
      <c r="F16" s="47">
        <f>'Intermediate calcs'!F21*VLOOKUP(IF(ISBLANK($A16),$B16,$A16),Radionuclide_specific,8,FALSE)*Other_Yffw_large*Other_Lriver_large</f>
        <v>0</v>
      </c>
      <c r="G16" s="46">
        <f t="shared" si="0"/>
        <v>0</v>
      </c>
      <c r="H16" s="46">
        <f t="shared" si="1"/>
        <v>0</v>
      </c>
      <c r="I16" s="47">
        <f t="shared" si="2"/>
        <v>0</v>
      </c>
      <c r="J16" s="47">
        <f t="shared" si="3"/>
        <v>0</v>
      </c>
    </row>
    <row r="17" spans="1:10">
      <c r="A17" s="4" t="s">
        <v>66</v>
      </c>
      <c r="B17" s="4"/>
      <c r="C17" s="46">
        <f>'Intermediate calcs'!C70*VLOOKUP(IF(ISBLANK($A17),$B17,$A17),Radionuclide_specific,8,FALSE)*VLOOKUP($B$4,Other_regional_data,5,FALSE)*VLOOKUP($B$4,Interim_regional_data,5,FALSE)*VLOOKUP($B$4,Other_regional_data,8,FALSE)</f>
        <v>0</v>
      </c>
      <c r="D17" s="46">
        <f>'Intermediate calcs'!D70*VLOOKUP(IF(ISBLANK($A17),$B17,$A17),Radionuclide_specific,8,FALSE)*VLOOKUP($B$4,Other_regional_data,5,FALSE)*VLOOKUP($B$4,Interim_regional_data,6,FALSE)*VLOOKUP($B$4,Other_regional_data,9,FALSE)</f>
        <v>1.0075130637193796E-7</v>
      </c>
      <c r="E17" s="47">
        <f>'Intermediate calcs'!E22*VLOOKUP(IF(ISBLANK($A17),$B17,$A17),Radionuclide_specific,8,FALSE)*Other_Yffw_small*Other_Lriver_small</f>
        <v>2.3475609756097559E-6</v>
      </c>
      <c r="F17" s="47">
        <f>'Intermediate calcs'!F22*VLOOKUP(IF(ISBLANK($A17),$B17,$A17),Radionuclide_specific,8,FALSE)*Other_Yffw_large*Other_Lriver_large</f>
        <v>1.1323529411764707E-7</v>
      </c>
      <c r="G17" s="46">
        <f t="shared" si="0"/>
        <v>1.1920607999999999E-5</v>
      </c>
      <c r="H17" s="46">
        <f t="shared" si="1"/>
        <v>1.1920607999999999E-5</v>
      </c>
      <c r="I17" s="47">
        <f t="shared" si="2"/>
        <v>1.4268168975609756E-5</v>
      </c>
      <c r="J17" s="47">
        <f t="shared" si="3"/>
        <v>1.2134594600489584E-5</v>
      </c>
    </row>
    <row r="18" spans="1:10">
      <c r="A18" s="4"/>
      <c r="B18" s="4" t="s">
        <v>106</v>
      </c>
      <c r="C18" s="46">
        <f>'Intermediate calcs'!C71*VLOOKUP(IF(ISBLANK($A18),$B18,$A18),Radionuclide_specific,8,FALSE)*VLOOKUP($B$4,Other_regional_data,5,FALSE)*VLOOKUP($B$4,Interim_regional_data,5,FALSE)*VLOOKUP($B$4,Other_regional_data,8,FALSE)</f>
        <v>0</v>
      </c>
      <c r="D18" s="46">
        <f>'Intermediate calcs'!D71*VLOOKUP(IF(ISBLANK($A18),$B18,$A18),Radionuclide_specific,8,FALSE)*VLOOKUP($B$4,Other_regional_data,5,FALSE)*VLOOKUP($B$4,Interim_regional_data,6,FALSE)*VLOOKUP($B$4,Other_regional_data,9,FALSE)</f>
        <v>0</v>
      </c>
      <c r="E18" s="47">
        <f>'Intermediate calcs'!E23*VLOOKUP(IF(ISBLANK($A18),$B18,$A18),Radionuclide_specific,8,FALSE)*Other_Yffw_small*Other_Lriver_small</f>
        <v>0</v>
      </c>
      <c r="F18" s="47">
        <f>'Intermediate calcs'!F23*VLOOKUP(IF(ISBLANK($A18),$B18,$A18),Radionuclide_specific,8,FALSE)*Other_Yffw_large*Other_Lriver_large</f>
        <v>0</v>
      </c>
      <c r="G18" s="46">
        <f t="shared" si="0"/>
        <v>0</v>
      </c>
      <c r="H18" s="46">
        <f t="shared" si="1"/>
        <v>0</v>
      </c>
      <c r="I18" s="47">
        <f t="shared" si="2"/>
        <v>0</v>
      </c>
      <c r="J18" s="47">
        <f t="shared" si="3"/>
        <v>0</v>
      </c>
    </row>
    <row r="19" spans="1:10">
      <c r="A19" s="4" t="s">
        <v>67</v>
      </c>
      <c r="B19" s="4"/>
      <c r="C19" s="46">
        <f>'Intermediate calcs'!C72*VLOOKUP(IF(ISBLANK($A19),$B19,$A19),Radionuclide_specific,8,FALSE)*VLOOKUP($B$4,Other_regional_data,5,FALSE)*VLOOKUP($B$4,Interim_regional_data,5,FALSE)*VLOOKUP($B$4,Other_regional_data,8,FALSE)</f>
        <v>0</v>
      </c>
      <c r="D19" s="46">
        <f>'Intermediate calcs'!D72*VLOOKUP(IF(ISBLANK($A19),$B19,$A19),Radionuclide_specific,8,FALSE)*VLOOKUP($B$4,Other_regional_data,5,FALSE)*VLOOKUP($B$4,Interim_regional_data,6,FALSE)*VLOOKUP($B$4,Other_regional_data,9,FALSE)</f>
        <v>9.761662506062878E-5</v>
      </c>
      <c r="E19" s="47">
        <f>'Intermediate calcs'!E24*VLOOKUP(IF(ISBLANK($A19),$B19,$A19),Radionuclide_specific,8,FALSE)*Other_Yffw_small*Other_Lriver_small</f>
        <v>3.0330882352941179E-5</v>
      </c>
      <c r="F19" s="47">
        <f>'Intermediate calcs'!F24*VLOOKUP(IF(ISBLANK($A19),$B19,$A19),Radionuclide_specific,8,FALSE)*Other_Yffw_large*Other_Lriver_large</f>
        <v>5.1562499999999991E-6</v>
      </c>
      <c r="G19" s="46">
        <f t="shared" si="0"/>
        <v>2.8098576000000003E-4</v>
      </c>
      <c r="H19" s="46">
        <f t="shared" si="1"/>
        <v>2.8098576000000003E-4</v>
      </c>
      <c r="I19" s="47">
        <f t="shared" si="2"/>
        <v>3.113166423529412E-4</v>
      </c>
      <c r="J19" s="47">
        <f t="shared" si="3"/>
        <v>3.8375863506062881E-4</v>
      </c>
    </row>
    <row r="20" spans="1:10">
      <c r="A20" s="4" t="s">
        <v>239</v>
      </c>
      <c r="B20" s="4"/>
      <c r="C20" s="46">
        <f>'Intermediate calcs'!C73*VLOOKUP(IF(ISBLANK($A20),$B20,$A20),Radionuclide_specific,8,FALSE)*VLOOKUP($B$4,Other_regional_data,5,FALSE)*VLOOKUP($B$4,Interim_regional_data,5,FALSE)*VLOOKUP($B$4,Other_regional_data,8,FALSE)</f>
        <v>0</v>
      </c>
      <c r="D20" s="46">
        <f>'Intermediate calcs'!D73*VLOOKUP(IF(ISBLANK($A20),$B20,$A20),Radionuclide_specific,8,FALSE)*VLOOKUP($B$4,Other_regional_data,5,FALSE)*VLOOKUP($B$4,Interim_regional_data,6,FALSE)*VLOOKUP($B$4,Other_regional_data,9,FALSE)</f>
        <v>1.2420990735891857E-7</v>
      </c>
      <c r="E20" s="47">
        <f>'Intermediate calcs'!E25*VLOOKUP(IF(ISBLANK($A20),$B20,$A20),Radionuclide_specific,8,FALSE)*Other_Yffw_small*Other_Lriver_small</f>
        <v>5.5147058823529418E-7</v>
      </c>
      <c r="F20" s="47">
        <f>'Intermediate calcs'!F25*VLOOKUP(IF(ISBLANK($A20),$B20,$A20),Radionuclide_specific,8,FALSE)*Other_Yffw_large*Other_Lriver_large</f>
        <v>9.3750000000000002E-8</v>
      </c>
      <c r="G20" s="46">
        <f t="shared" si="0"/>
        <v>5.108832000000001E-6</v>
      </c>
      <c r="H20" s="46">
        <f t="shared" si="1"/>
        <v>5.108832000000001E-6</v>
      </c>
      <c r="I20" s="47">
        <f t="shared" ref="I20" si="10">C20+E20+G20</f>
        <v>5.6603025882352951E-6</v>
      </c>
      <c r="J20" s="47">
        <f t="shared" ref="J20" si="11">D20+F20+H20</f>
        <v>5.32679190735892E-6</v>
      </c>
    </row>
    <row r="21" spans="1:10">
      <c r="A21" s="4" t="s">
        <v>177</v>
      </c>
      <c r="B21" s="4"/>
      <c r="C21" s="46">
        <f>'Intermediate calcs'!C74*VLOOKUP(IF(ISBLANK($A21),$B21,$A21),Radionuclide_specific,8,FALSE)*VLOOKUP($B$4,Other_regional_data,5,FALSE)*VLOOKUP($B$4,Interim_regional_data,5,FALSE)*VLOOKUP($B$4,Other_regional_data,8,FALSE)</f>
        <v>0</v>
      </c>
      <c r="D21" s="46">
        <f>'Intermediate calcs'!D74*VLOOKUP(IF(ISBLANK($A21),$B21,$A21),Radionuclide_specific,8,FALSE)*VLOOKUP($B$4,Other_regional_data,5,FALSE)*VLOOKUP($B$4,Interim_regional_data,6,FALSE)*VLOOKUP($B$4,Other_regional_data,9,FALSE)</f>
        <v>1.3729315470987575E-5</v>
      </c>
      <c r="E21" s="47">
        <f>'Intermediate calcs'!E26*VLOOKUP(IF(ISBLANK($A21),$B21,$A21),Radionuclide_specific,8,FALSE)*Other_Yffw_small*Other_Lriver_small</f>
        <v>3.0063291139240513E-4</v>
      </c>
      <c r="F21" s="47">
        <f>'Intermediate calcs'!F26*VLOOKUP(IF(ISBLANK($A21),$B21,$A21),Radionuclide_specific,8,FALSE)*Other_Yffw_large*Other_Lriver_large</f>
        <v>1.5322580645161292E-5</v>
      </c>
      <c r="G21" s="46">
        <f t="shared" si="0"/>
        <v>4.8533904000000011E-5</v>
      </c>
      <c r="H21" s="46">
        <f t="shared" si="1"/>
        <v>4.8533904000000011E-5</v>
      </c>
      <c r="I21" s="47">
        <f t="shared" ref="I21" si="12">C21+E21+G21</f>
        <v>3.4916681539240511E-4</v>
      </c>
      <c r="J21" s="47">
        <f t="shared" ref="J21" si="13">D21+F21+H21</f>
        <v>7.758580011614887E-5</v>
      </c>
    </row>
    <row r="22" spans="1:10">
      <c r="A22" s="4" t="s">
        <v>12</v>
      </c>
      <c r="B22" s="4"/>
      <c r="C22" s="46">
        <f>'Intermediate calcs'!C75*VLOOKUP(IF(ISBLANK($A22),$B22,$A22),Radionuclide_specific,8,FALSE)*VLOOKUP($B$4,Other_regional_data,5,FALSE)*VLOOKUP($B$4,Interim_regional_data,5,FALSE)*VLOOKUP($B$4,Other_regional_data,8,FALSE)</f>
        <v>0</v>
      </c>
      <c r="D22" s="46">
        <f>'Intermediate calcs'!D75*VLOOKUP(IF(ISBLANK($A22),$B22,$A22),Radionuclide_specific,8,FALSE)*VLOOKUP($B$4,Other_regional_data,5,FALSE)*VLOOKUP($B$4,Interim_regional_data,6,FALSE)*VLOOKUP($B$4,Other_regional_data,9,FALSE)</f>
        <v>1.1268664225678193E-5</v>
      </c>
      <c r="E22" s="47">
        <f>'Intermediate calcs'!E27*VLOOKUP(IF(ISBLANK($A22),$B22,$A22),Radionuclide_specific,8,FALSE)*Other_Yffw_small*Other_Lriver_small</f>
        <v>2.0569620253164559E-4</v>
      </c>
      <c r="F22" s="47">
        <f>'Intermediate calcs'!F27*VLOOKUP(IF(ISBLANK($A22),$B22,$A22),Radionuclide_specific,8,FALSE)*Other_Yffw_large*Other_Lriver_large</f>
        <v>1.0483870967741936E-5</v>
      </c>
      <c r="G22" s="46">
        <f t="shared" si="0"/>
        <v>3.3207408000000005E-5</v>
      </c>
      <c r="H22" s="46">
        <f t="shared" si="1"/>
        <v>3.3207408000000005E-5</v>
      </c>
      <c r="I22" s="47">
        <f t="shared" si="2"/>
        <v>2.3890361053164558E-4</v>
      </c>
      <c r="J22" s="47">
        <f t="shared" si="3"/>
        <v>5.4959943193420136E-5</v>
      </c>
    </row>
    <row r="23" spans="1:10">
      <c r="A23" s="4"/>
      <c r="B23" s="4" t="s">
        <v>107</v>
      </c>
      <c r="C23" s="46">
        <f>'Intermediate calcs'!C76*VLOOKUP(IF(ISBLANK($A23),$B23,$A23),Radionuclide_specific,8,FALSE)*VLOOKUP($B$4,Other_regional_data,5,FALSE)*VLOOKUP($B$4,Interim_regional_data,5,FALSE)*VLOOKUP($B$4,Other_regional_data,8,FALSE)</f>
        <v>0</v>
      </c>
      <c r="D23" s="46">
        <f>'Intermediate calcs'!D76*VLOOKUP(IF(ISBLANK($A23),$B23,$A23),Radionuclide_specific,8,FALSE)*VLOOKUP($B$4,Other_regional_data,5,FALSE)*VLOOKUP($B$4,Interim_regional_data,6,FALSE)*VLOOKUP($B$4,Other_regional_data,9,FALSE)</f>
        <v>0</v>
      </c>
      <c r="E23" s="47">
        <f>'Intermediate calcs'!E28*VLOOKUP(IF(ISBLANK($A23),$B23,$A23),Radionuclide_specific,8,FALSE)*Other_Yffw_small*Other_Lriver_small</f>
        <v>0</v>
      </c>
      <c r="F23" s="47">
        <f>'Intermediate calcs'!F28*VLOOKUP(IF(ISBLANK($A23),$B23,$A23),Radionuclide_specific,8,FALSE)*Other_Yffw_large*Other_Lriver_large</f>
        <v>0</v>
      </c>
      <c r="G23" s="46">
        <f t="shared" si="0"/>
        <v>0</v>
      </c>
      <c r="H23" s="46">
        <f t="shared" si="1"/>
        <v>0</v>
      </c>
      <c r="I23" s="47">
        <f t="shared" si="2"/>
        <v>0</v>
      </c>
      <c r="J23" s="47">
        <f t="shared" si="3"/>
        <v>0</v>
      </c>
    </row>
    <row r="24" spans="1:10">
      <c r="A24" s="4" t="s">
        <v>22</v>
      </c>
      <c r="B24" s="4"/>
      <c r="C24" s="46">
        <f>'Intermediate calcs'!C77*VLOOKUP(IF(ISBLANK($A24),$B24,$A24),Radionuclide_specific,8,FALSE)*VLOOKUP($B$4,Other_regional_data,5,FALSE)*VLOOKUP($B$4,Interim_regional_data,5,FALSE)*VLOOKUP($B$4,Other_regional_data,8,FALSE)</f>
        <v>0</v>
      </c>
      <c r="D24" s="46">
        <f>'Intermediate calcs'!D77*VLOOKUP(IF(ISBLANK($A24),$B24,$A24),Radionuclide_specific,8,FALSE)*VLOOKUP($B$4,Other_regional_data,5,FALSE)*VLOOKUP($B$4,Interim_regional_data,6,FALSE)*VLOOKUP($B$4,Other_regional_data,9,FALSE)</f>
        <v>4.1735411881416708E-5</v>
      </c>
      <c r="E24" s="47">
        <f>'Intermediate calcs'!E29*VLOOKUP(IF(ISBLANK($A24),$B24,$A24),Radionuclide_specific,8,FALSE)*Other_Yffw_small*Other_Lriver_small</f>
        <v>1.4374999999999997E-4</v>
      </c>
      <c r="F24" s="47">
        <f>'Intermediate calcs'!F29*VLOOKUP(IF(ISBLANK($A24),$B24,$A24),Radionuclide_specific,8,FALSE)*Other_Yffw_large*Other_Lriver_large</f>
        <v>1.4374999999999999E-5</v>
      </c>
      <c r="G24" s="46">
        <f t="shared" si="0"/>
        <v>1.1750313599999999E-3</v>
      </c>
      <c r="H24" s="46">
        <f t="shared" si="1"/>
        <v>1.1750313599999999E-3</v>
      </c>
      <c r="I24" s="47">
        <f t="shared" si="2"/>
        <v>1.3187813599999999E-3</v>
      </c>
      <c r="J24" s="47">
        <f t="shared" si="3"/>
        <v>1.2311417718814165E-3</v>
      </c>
    </row>
    <row r="25" spans="1:10">
      <c r="A25" s="4" t="s">
        <v>19</v>
      </c>
      <c r="B25" s="4"/>
      <c r="C25" s="46">
        <f>'Intermediate calcs'!C78*VLOOKUP(IF(ISBLANK($A25),$B25,$A25),Radionuclide_specific,8,FALSE)*VLOOKUP($B$4,Other_regional_data,5,FALSE)*VLOOKUP($B$4,Interim_regional_data,5,FALSE)*VLOOKUP($B$4,Other_regional_data,8,FALSE)</f>
        <v>0</v>
      </c>
      <c r="D25" s="46">
        <f>'Intermediate calcs'!D78*VLOOKUP(IF(ISBLANK($A25),$B25,$A25),Radionuclide_specific,8,FALSE)*VLOOKUP($B$4,Other_regional_data,5,FALSE)*VLOOKUP($B$4,Interim_regional_data,6,FALSE)*VLOOKUP($B$4,Other_regional_data,9,FALSE)</f>
        <v>8.724127142460534E-6</v>
      </c>
      <c r="E25" s="47">
        <f>'Intermediate calcs'!E30*VLOOKUP(IF(ISBLANK($A25),$B25,$A25),Radionuclide_specific,8,FALSE)*Other_Yffw_small*Other_Lriver_small</f>
        <v>2.3999999999999998E-4</v>
      </c>
      <c r="F25" s="47">
        <f>'Intermediate calcs'!F30*VLOOKUP(IF(ISBLANK($A25),$B25,$A25),Radionuclide_specific,8,FALSE)*Other_Yffw_large*Other_Lriver_large</f>
        <v>1.0285714285714285E-5</v>
      </c>
      <c r="G25" s="46">
        <f t="shared" si="0"/>
        <v>2.0435328000000001E-3</v>
      </c>
      <c r="H25" s="46">
        <f t="shared" si="1"/>
        <v>2.0435328000000001E-3</v>
      </c>
      <c r="I25" s="47">
        <f t="shared" si="2"/>
        <v>2.2835327999999998E-3</v>
      </c>
      <c r="J25" s="47">
        <f t="shared" si="3"/>
        <v>2.062542641428175E-3</v>
      </c>
    </row>
    <row r="26" spans="1:10">
      <c r="A26" s="4" t="s">
        <v>14</v>
      </c>
      <c r="B26" s="4"/>
      <c r="C26" s="46">
        <f>'Intermediate calcs'!C79*VLOOKUP(IF(ISBLANK($A26),$B26,$A26),Radionuclide_specific,8,FALSE)*VLOOKUP($B$4,Other_regional_data,5,FALSE)*VLOOKUP($B$4,Interim_regional_data,5,FALSE)*VLOOKUP($B$4,Other_regional_data,8,FALSE)</f>
        <v>0</v>
      </c>
      <c r="D26" s="46">
        <f>'Intermediate calcs'!D79*VLOOKUP(IF(ISBLANK($A26),$B26,$A26),Radionuclide_specific,8,FALSE)*VLOOKUP($B$4,Other_regional_data,5,FALSE)*VLOOKUP($B$4,Interim_regional_data,6,FALSE)*VLOOKUP($B$4,Other_regional_data,9,FALSE)</f>
        <v>1.0837461585202326E-4</v>
      </c>
      <c r="E26" s="47">
        <f>'Intermediate calcs'!E31*VLOOKUP(IF(ISBLANK($A26),$B26,$A26),Radionuclide_specific,8,FALSE)*Other_Yffw_small*Other_Lriver_small</f>
        <v>9.7560975609756076E-6</v>
      </c>
      <c r="F26" s="47">
        <f>'Intermediate calcs'!F31*VLOOKUP(IF(ISBLANK($A26),$B26,$A26),Radionuclide_specific,8,FALSE)*Other_Yffw_large*Other_Lriver_large</f>
        <v>1.1914893617021278E-6</v>
      </c>
      <c r="G26" s="46">
        <f t="shared" si="0"/>
        <v>4.7682432000000006E-4</v>
      </c>
      <c r="H26" s="46">
        <f t="shared" si="1"/>
        <v>4.7682432000000006E-4</v>
      </c>
      <c r="I26" s="47">
        <f t="shared" si="2"/>
        <v>4.8658041756097567E-4</v>
      </c>
      <c r="J26" s="47">
        <f t="shared" si="3"/>
        <v>5.8639042521372545E-4</v>
      </c>
    </row>
    <row r="27" spans="1:10">
      <c r="A27" s="4" t="s">
        <v>156</v>
      </c>
      <c r="B27" s="4"/>
      <c r="C27" s="46">
        <f>'Intermediate calcs'!C80*VLOOKUP(IF(ISBLANK($A27),$B27,$A27),Radionuclide_specific,8,FALSE)*VLOOKUP($B$4,Other_regional_data,5,FALSE)*VLOOKUP($B$4,Interim_regional_data,5,FALSE)*VLOOKUP($B$4,Other_regional_data,8,FALSE)</f>
        <v>0</v>
      </c>
      <c r="D27" s="46">
        <f>'Intermediate calcs'!D80*VLOOKUP(IF(ISBLANK($A27),$B27,$A27),Radionuclide_specific,8,FALSE)*VLOOKUP($B$4,Other_regional_data,5,FALSE)*VLOOKUP($B$4,Interim_regional_data,6,FALSE)*VLOOKUP($B$4,Other_regional_data,9,FALSE)</f>
        <v>2.4507909801517424E-6</v>
      </c>
      <c r="E27" s="47">
        <f>'Intermediate calcs'!E32*VLOOKUP(IF(ISBLANK($A27),$B27,$A27),Radionuclide_specific,8,FALSE)*Other_Yffw_small*Other_Lriver_small</f>
        <v>2.6249999999999999E-6</v>
      </c>
      <c r="F27" s="47">
        <f>'Intermediate calcs'!F32*VLOOKUP(IF(ISBLANK($A27),$B27,$A27),Radionuclide_specific,8,FALSE)*Other_Yffw_large*Other_Lriver_large</f>
        <v>6.5624999999999994E-8</v>
      </c>
      <c r="G27" s="46">
        <f t="shared" si="0"/>
        <v>1.9867679999999998E-4</v>
      </c>
      <c r="H27" s="46">
        <f t="shared" si="1"/>
        <v>1.9867679999999998E-4</v>
      </c>
      <c r="I27" s="47">
        <f t="shared" ref="I27" si="14">C27+E27+G27</f>
        <v>2.0130179999999998E-4</v>
      </c>
      <c r="J27" s="47">
        <f t="shared" ref="J27" si="15">D27+F27+H27</f>
        <v>2.0119321598015171E-4</v>
      </c>
    </row>
    <row r="28" spans="1:10">
      <c r="A28" s="4" t="s">
        <v>20</v>
      </c>
      <c r="B28" s="4"/>
      <c r="C28" s="46">
        <f>'Intermediate calcs'!C81*VLOOKUP(IF(ISBLANK($A28),$B28,$A28),Radionuclide_specific,8,FALSE)*VLOOKUP($B$4,Other_regional_data,5,FALSE)*VLOOKUP($B$4,Interim_regional_data,5,FALSE)*VLOOKUP($B$4,Other_regional_data,8,FALSE)</f>
        <v>0</v>
      </c>
      <c r="D28" s="46">
        <f>'Intermediate calcs'!D81*VLOOKUP(IF(ISBLANK($A28),$B28,$A28),Radionuclide_specific,8,FALSE)*VLOOKUP($B$4,Other_regional_data,5,FALSE)*VLOOKUP($B$4,Interim_regional_data,6,FALSE)*VLOOKUP($B$4,Other_regional_data,9,FALSE)</f>
        <v>2.6841996449280987E-6</v>
      </c>
      <c r="E28" s="47">
        <f>'Intermediate calcs'!E33*VLOOKUP(IF(ISBLANK($A28),$B28,$A28),Radionuclide_specific,8,FALSE)*Other_Yffw_small*Other_Lriver_small</f>
        <v>2.875E-6</v>
      </c>
      <c r="F28" s="47">
        <f>'Intermediate calcs'!F33*VLOOKUP(IF(ISBLANK($A28),$B28,$A28),Radionuclide_specific,8,FALSE)*Other_Yffw_large*Other_Lriver_large</f>
        <v>7.1875E-8</v>
      </c>
      <c r="G28" s="46">
        <f t="shared" si="0"/>
        <v>2.1759839999999997E-4</v>
      </c>
      <c r="H28" s="46">
        <f t="shared" si="1"/>
        <v>2.1759839999999997E-4</v>
      </c>
      <c r="I28" s="47">
        <f t="shared" si="2"/>
        <v>2.2047339999999998E-4</v>
      </c>
      <c r="J28" s="47">
        <f t="shared" si="3"/>
        <v>2.2035447464492807E-4</v>
      </c>
    </row>
    <row r="29" spans="1:10">
      <c r="A29" s="4"/>
      <c r="B29" s="4" t="s">
        <v>29</v>
      </c>
      <c r="C29" s="46">
        <f>'Intermediate calcs'!C82*VLOOKUP(IF(ISBLANK($A29),$B29,$A29),Radionuclide_specific,8,FALSE)*VLOOKUP($B$4,Other_regional_data,5,FALSE)*VLOOKUP($B$4,Interim_regional_data,5,FALSE)*VLOOKUP($B$4,Other_regional_data,8,FALSE)</f>
        <v>0</v>
      </c>
      <c r="D29" s="46">
        <f>'Intermediate calcs'!D82*VLOOKUP(IF(ISBLANK($A29),$B29,$A29),Radionuclide_specific,8,FALSE)*VLOOKUP($B$4,Other_regional_data,5,FALSE)*VLOOKUP($B$4,Interim_regional_data,6,FALSE)*VLOOKUP($B$4,Other_regional_data,9,FALSE)</f>
        <v>8.8954308535574303E-5</v>
      </c>
      <c r="E29" s="47">
        <f>'Intermediate calcs'!E34*VLOOKUP(IF(ISBLANK($A29),$B29,$A29),Radionuclide_specific,8,FALSE)*Other_Yffw_small*Other_Lriver_small</f>
        <v>5.7499999999999992E-6</v>
      </c>
      <c r="F29" s="47">
        <f>'Intermediate calcs'!F34*VLOOKUP(IF(ISBLANK($A29),$B29,$A29),Radionuclide_specific,8,FALSE)*Other_Yffw_large*Other_Lriver_large</f>
        <v>1.4375E-7</v>
      </c>
      <c r="G29" s="46">
        <f t="shared" si="0"/>
        <v>1.1750313599999999E-3</v>
      </c>
      <c r="H29" s="46">
        <f t="shared" si="1"/>
        <v>1.1750313599999999E-3</v>
      </c>
      <c r="I29" s="47">
        <f t="shared" si="2"/>
        <v>1.1807813599999998E-3</v>
      </c>
      <c r="J29" s="47">
        <f t="shared" si="3"/>
        <v>1.2641294185355742E-3</v>
      </c>
    </row>
    <row r="30" spans="1:10">
      <c r="A30" s="4"/>
      <c r="B30" s="4" t="s">
        <v>108</v>
      </c>
      <c r="C30" s="46">
        <f>'Intermediate calcs'!C83*VLOOKUP(IF(ISBLANK($A30),$B30,$A30),Radionuclide_specific,8,FALSE)*VLOOKUP($B$4,Other_regional_data,5,FALSE)*VLOOKUP($B$4,Interim_regional_data,5,FALSE)*VLOOKUP($B$4,Other_regional_data,8,FALSE)</f>
        <v>0</v>
      </c>
      <c r="D30" s="46">
        <f>'Intermediate calcs'!D83*VLOOKUP(IF(ISBLANK($A30),$B30,$A30),Radionuclide_specific,8,FALSE)*VLOOKUP($B$4,Other_regional_data,5,FALSE)*VLOOKUP($B$4,Interim_regional_data,6,FALSE)*VLOOKUP($B$4,Other_regional_data,9,FALSE)</f>
        <v>0</v>
      </c>
      <c r="E30" s="47">
        <f>'Intermediate calcs'!E35*VLOOKUP(IF(ISBLANK($A30),$B30,$A30),Radionuclide_specific,8,FALSE)*Other_Yffw_small*Other_Lriver_small</f>
        <v>1.3437499999999999E-8</v>
      </c>
      <c r="F30" s="47">
        <f>'Intermediate calcs'!F35*VLOOKUP(IF(ISBLANK($A30),$B30,$A30),Radionuclide_specific,8,FALSE)*Other_Yffw_large*Other_Lriver_large</f>
        <v>3.3593750000000006E-10</v>
      </c>
      <c r="G30" s="46">
        <f t="shared" si="0"/>
        <v>7.3226592000000011E-7</v>
      </c>
      <c r="H30" s="46">
        <f t="shared" si="1"/>
        <v>7.3226592000000011E-7</v>
      </c>
      <c r="I30" s="47">
        <f t="shared" si="2"/>
        <v>7.4570342000000014E-7</v>
      </c>
      <c r="J30" s="47">
        <f t="shared" si="3"/>
        <v>7.326018575000001E-7</v>
      </c>
    </row>
    <row r="31" spans="1:10">
      <c r="A31" s="4"/>
      <c r="B31" s="4" t="s">
        <v>109</v>
      </c>
      <c r="C31" s="46">
        <f>'Intermediate calcs'!C84*VLOOKUP(IF(ISBLANK($A31),$B31,$A31),Radionuclide_specific,8,FALSE)*VLOOKUP($B$4,Other_regional_data,5,FALSE)*VLOOKUP($B$4,Interim_regional_data,5,FALSE)*VLOOKUP($B$4,Other_regional_data,8,FALSE)</f>
        <v>0</v>
      </c>
      <c r="D31" s="46">
        <f>'Intermediate calcs'!D84*VLOOKUP(IF(ISBLANK($A31),$B31,$A31),Radionuclide_specific,8,FALSE)*VLOOKUP($B$4,Other_regional_data,5,FALSE)*VLOOKUP($B$4,Interim_regional_data,6,FALSE)*VLOOKUP($B$4,Other_regional_data,9,FALSE)</f>
        <v>5.6795127308002191E-7</v>
      </c>
      <c r="E31" s="47">
        <f>'Intermediate calcs'!E36*VLOOKUP(IF(ISBLANK($A31),$B31,$A31),Radionuclide_specific,8,FALSE)*Other_Yffw_small*Other_Lriver_small</f>
        <v>8.9999999999999996E-7</v>
      </c>
      <c r="F31" s="47">
        <f>'Intermediate calcs'!F36*VLOOKUP(IF(ISBLANK($A31),$B31,$A31),Radionuclide_specific,8,FALSE)*Other_Yffw_large*Other_Lriver_large</f>
        <v>2.25E-8</v>
      </c>
      <c r="G31" s="46">
        <f t="shared" si="0"/>
        <v>6.8117759999999997E-5</v>
      </c>
      <c r="H31" s="46">
        <f t="shared" si="1"/>
        <v>6.8117759999999997E-5</v>
      </c>
      <c r="I31" s="47">
        <f t="shared" si="2"/>
        <v>6.9017759999999992E-5</v>
      </c>
      <c r="J31" s="47">
        <f t="shared" si="3"/>
        <v>6.8708211273080025E-5</v>
      </c>
    </row>
    <row r="32" spans="1:10">
      <c r="A32" s="4"/>
      <c r="B32" s="4" t="s">
        <v>110</v>
      </c>
      <c r="C32" s="46">
        <f>'Intermediate calcs'!C85*VLOOKUP(IF(ISBLANK($A32),$B32,$A32),Radionuclide_specific,8,FALSE)*VLOOKUP($B$4,Other_regional_data,5,FALSE)*VLOOKUP($B$4,Interim_regional_data,5,FALSE)*VLOOKUP($B$4,Other_regional_data,8,FALSE)</f>
        <v>0</v>
      </c>
      <c r="D32" s="46">
        <f>'Intermediate calcs'!D85*VLOOKUP(IF(ISBLANK($A32),$B32,$A32),Radionuclide_specific,8,FALSE)*VLOOKUP($B$4,Other_regional_data,5,FALSE)*VLOOKUP($B$4,Interim_regional_data,6,FALSE)*VLOOKUP($B$4,Other_regional_data,9,FALSE)</f>
        <v>1.439304376741971E-9</v>
      </c>
      <c r="E32" s="47">
        <f>'Intermediate calcs'!E37*VLOOKUP(IF(ISBLANK($A32),$B32,$A32),Radionuclide_specific,8,FALSE)*Other_Yffw_small*Other_Lriver_small</f>
        <v>3.1249999999999992E-7</v>
      </c>
      <c r="F32" s="47">
        <f>'Intermediate calcs'!F37*VLOOKUP(IF(ISBLANK($A32),$B32,$A32),Radionuclide_specific,8,FALSE)*Other_Yffw_large*Other_Lriver_large</f>
        <v>7.8125000000000013E-9</v>
      </c>
      <c r="G32" s="46">
        <f t="shared" si="0"/>
        <v>1.0217664E-5</v>
      </c>
      <c r="H32" s="46">
        <f t="shared" si="1"/>
        <v>1.0217664E-5</v>
      </c>
      <c r="I32" s="47">
        <f t="shared" si="2"/>
        <v>1.0530163999999999E-5</v>
      </c>
      <c r="J32" s="47">
        <f t="shared" si="3"/>
        <v>1.0226915804376742E-5</v>
      </c>
    </row>
    <row r="33" spans="1:10">
      <c r="A33" s="4" t="s">
        <v>111</v>
      </c>
      <c r="B33" s="4"/>
      <c r="C33" s="46">
        <f>'Intermediate calcs'!C86*VLOOKUP(IF(ISBLANK($A33),$B33,$A33),Radionuclide_specific,8,FALSE)*VLOOKUP($B$4,Other_regional_data,5,FALSE)*VLOOKUP($B$4,Interim_regional_data,5,FALSE)*VLOOKUP($B$4,Other_regional_data,8,FALSE)</f>
        <v>0</v>
      </c>
      <c r="D33" s="46">
        <f>'Intermediate calcs'!D86*VLOOKUP(IF(ISBLANK($A33),$B33,$A33),Radionuclide_specific,8,FALSE)*VLOOKUP($B$4,Other_regional_data,5,FALSE)*VLOOKUP($B$4,Interim_regional_data,6,FALSE)*VLOOKUP($B$4,Other_regional_data,9,FALSE)</f>
        <v>4.0094487157421524E-6</v>
      </c>
      <c r="E33" s="47">
        <f>'Intermediate calcs'!E38*VLOOKUP(IF(ISBLANK($A33),$B33,$A33),Radionuclide_specific,8,FALSE)*Other_Yffw_small*Other_Lriver_small</f>
        <v>4.6993006993006993E-7</v>
      </c>
      <c r="F33" s="47">
        <f>'Intermediate calcs'!F38*VLOOKUP(IF(ISBLANK($A33),$B33,$A33),Radionuclide_specific,8,FALSE)*Other_Yffw_large*Other_Lriver_large</f>
        <v>2.294634146341464E-7</v>
      </c>
      <c r="G33" s="46">
        <f t="shared" si="0"/>
        <v>4.6357919999999993E-5</v>
      </c>
      <c r="H33" s="46">
        <f t="shared" si="1"/>
        <v>4.6357919999999993E-5</v>
      </c>
      <c r="I33" s="47">
        <f t="shared" ref="I33" si="16">C33+E33+G33</f>
        <v>4.682785006993006E-5</v>
      </c>
      <c r="J33" s="47">
        <f t="shared" ref="J33" si="17">D33+F33+H33</f>
        <v>5.0596832130376291E-5</v>
      </c>
    </row>
    <row r="34" spans="1:10">
      <c r="A34" s="4" t="s">
        <v>30</v>
      </c>
      <c r="B34" s="4"/>
      <c r="C34" s="46">
        <f>'Intermediate calcs'!C87*VLOOKUP(IF(ISBLANK($A34),$B34,$A34),Radionuclide_specific,8,FALSE)*VLOOKUP($B$4,Other_regional_data,5,FALSE)*VLOOKUP($B$4,Interim_regional_data,5,FALSE)*VLOOKUP($B$4,Other_regional_data,8,FALSE)</f>
        <v>0</v>
      </c>
      <c r="D34" s="46">
        <f>'Intermediate calcs'!D87*VLOOKUP(IF(ISBLANK($A34),$B34,$A34),Radionuclide_specific,8,FALSE)*VLOOKUP($B$4,Other_regional_data,5,FALSE)*VLOOKUP($B$4,Interim_regional_data,6,FALSE)*VLOOKUP($B$4,Other_regional_data,9,FALSE)</f>
        <v>3.6821467797632011E-6</v>
      </c>
      <c r="E34" s="47">
        <f>'Intermediate calcs'!E39*VLOOKUP(IF(ISBLANK($A34),$B34,$A34),Radionuclide_specific,8,FALSE)*Other_Yffw_small*Other_Lriver_small</f>
        <v>4.315684315684316E-7</v>
      </c>
      <c r="F34" s="47">
        <f>'Intermediate calcs'!F39*VLOOKUP(IF(ISBLANK($A34),$B34,$A34),Radionuclide_specific,8,FALSE)*Other_Yffw_large*Other_Lriver_large</f>
        <v>2.1073170731707321E-7</v>
      </c>
      <c r="G34" s="46">
        <f t="shared" si="0"/>
        <v>4.2573600000000002E-5</v>
      </c>
      <c r="H34" s="46">
        <f t="shared" si="1"/>
        <v>4.2573600000000002E-5</v>
      </c>
      <c r="I34" s="47">
        <f t="shared" si="2"/>
        <v>4.3005168431568435E-5</v>
      </c>
      <c r="J34" s="47">
        <f t="shared" si="3"/>
        <v>4.6466478487080279E-5</v>
      </c>
    </row>
    <row r="35" spans="1:10">
      <c r="A35" s="4"/>
      <c r="B35" s="4" t="s">
        <v>31</v>
      </c>
      <c r="C35" s="46">
        <f>'Intermediate calcs'!C88*VLOOKUP(IF(ISBLANK($A35),$B35,$A35),Radionuclide_specific,8,FALSE)*VLOOKUP($B$4,Other_regional_data,5,FALSE)*VLOOKUP($B$4,Interim_regional_data,5,FALSE)*VLOOKUP($B$4,Other_regional_data,8,FALSE)</f>
        <v>0</v>
      </c>
      <c r="D35" s="46">
        <f>'Intermediate calcs'!D88*VLOOKUP(IF(ISBLANK($A35),$B35,$A35),Radionuclide_specific,8,FALSE)*VLOOKUP($B$4,Other_regional_data,5,FALSE)*VLOOKUP($B$4,Interim_regional_data,6,FALSE)*VLOOKUP($B$4,Other_regional_data,9,FALSE)</f>
        <v>1.6862525100929959E-8</v>
      </c>
      <c r="E35" s="47">
        <f>'Intermediate calcs'!E40*VLOOKUP(IF(ISBLANK($A35),$B35,$A35),Radionuclide_specific,8,FALSE)*Other_Yffw_small*Other_Lriver_small</f>
        <v>2.0379620379620385E-7</v>
      </c>
      <c r="F35" s="47">
        <f>'Intermediate calcs'!F40*VLOOKUP(IF(ISBLANK($A35),$B35,$A35),Radionuclide_specific,8,FALSE)*Other_Yffw_large*Other_Lriver_large</f>
        <v>9.9512195121951228E-8</v>
      </c>
      <c r="G35" s="46">
        <f t="shared" si="0"/>
        <v>3.2166719999999997E-6</v>
      </c>
      <c r="H35" s="46">
        <f t="shared" si="1"/>
        <v>3.2166719999999997E-6</v>
      </c>
      <c r="I35" s="47">
        <f t="shared" si="2"/>
        <v>3.4204682037962034E-6</v>
      </c>
      <c r="J35" s="47">
        <f t="shared" si="3"/>
        <v>3.3330467202228808E-6</v>
      </c>
    </row>
    <row r="36" spans="1:10">
      <c r="A36" s="4"/>
      <c r="B36" s="4" t="s">
        <v>32</v>
      </c>
      <c r="C36" s="46">
        <f>'Intermediate calcs'!C89*VLOOKUP(IF(ISBLANK($A36),$B36,$A36),Radionuclide_specific,8,FALSE)*VLOOKUP($B$4,Other_regional_data,5,FALSE)*VLOOKUP($B$4,Interim_regional_data,5,FALSE)*VLOOKUP($B$4,Other_regional_data,8,FALSE)</f>
        <v>0</v>
      </c>
      <c r="D36" s="46">
        <f>'Intermediate calcs'!D89*VLOOKUP(IF(ISBLANK($A36),$B36,$A36),Radionuclide_specific,8,FALSE)*VLOOKUP($B$4,Other_regional_data,5,FALSE)*VLOOKUP($B$4,Interim_regional_data,6,FALSE)*VLOOKUP($B$4,Other_regional_data,9,FALSE)</f>
        <v>0</v>
      </c>
      <c r="E36" s="47">
        <f>'Intermediate calcs'!E41*VLOOKUP(IF(ISBLANK($A36),$B36,$A36),Radionuclide_specific,8,FALSE)*Other_Yffw_small*Other_Lriver_small</f>
        <v>0</v>
      </c>
      <c r="F36" s="47">
        <f>'Intermediate calcs'!F41*VLOOKUP(IF(ISBLANK($A36),$B36,$A36),Radionuclide_specific,8,FALSE)*Other_Yffw_large*Other_Lriver_large</f>
        <v>0</v>
      </c>
      <c r="G36" s="46">
        <f t="shared" si="0"/>
        <v>0</v>
      </c>
      <c r="H36" s="46">
        <f t="shared" si="1"/>
        <v>0</v>
      </c>
      <c r="I36" s="47">
        <f t="shared" si="2"/>
        <v>0</v>
      </c>
      <c r="J36" s="47">
        <f t="shared" si="3"/>
        <v>0</v>
      </c>
    </row>
    <row r="37" spans="1:10">
      <c r="A37" s="4" t="s">
        <v>13</v>
      </c>
      <c r="C37" s="46">
        <f>'Intermediate calcs'!C90*VLOOKUP(IF(ISBLANK($A37),$B37,$A37),Radionuclide_specific,8,FALSE)*VLOOKUP($B$4,Other_regional_data,5,FALSE)*VLOOKUP($B$4,Interim_regional_data,5,FALSE)*VLOOKUP($B$4,Other_regional_data,8,FALSE)</f>
        <v>0</v>
      </c>
      <c r="D37" s="46">
        <f>'Intermediate calcs'!D90*VLOOKUP(IF(ISBLANK($A37),$B37,$A37),Radionuclide_specific,8,FALSE)*VLOOKUP($B$4,Other_regional_data,5,FALSE)*VLOOKUP($B$4,Interim_regional_data,6,FALSE)*VLOOKUP($B$4,Other_regional_data,9,FALSE)</f>
        <v>3.8263715537107605E-6</v>
      </c>
      <c r="E37" s="47">
        <f>'Intermediate calcs'!E42*VLOOKUP(IF(ISBLANK($A37),$B37,$A37),Radionuclide_specific,8,FALSE)*Other_Yffw_small*Other_Lriver_small</f>
        <v>1.293103448275862E-5</v>
      </c>
      <c r="F37" s="47">
        <f>'Intermediate calcs'!F42*VLOOKUP(IF(ISBLANK($A37),$B37,$A37),Radionuclide_specific,8,FALSE)*Other_Yffw_large*Other_Lriver_large</f>
        <v>3.0991735537190077E-7</v>
      </c>
      <c r="G37" s="46">
        <f t="shared" si="0"/>
        <v>2.1286800000000001E-4</v>
      </c>
      <c r="H37" s="46">
        <f t="shared" si="1"/>
        <v>2.1286800000000001E-4</v>
      </c>
      <c r="I37" s="47">
        <f t="shared" si="2"/>
        <v>2.2579903448275863E-4</v>
      </c>
      <c r="J37" s="47">
        <f t="shared" si="3"/>
        <v>2.1700428890908266E-4</v>
      </c>
    </row>
    <row r="38" spans="1:10">
      <c r="A38" t="s">
        <v>18</v>
      </c>
      <c r="C38" s="46">
        <f>'Intermediate calcs'!C91*VLOOKUP(IF(ISBLANK($A38),$B38,$A38),Radionuclide_specific,8,FALSE)*VLOOKUP($B$4,Other_regional_data,5,FALSE)*VLOOKUP($B$4,Interim_regional_data,5,FALSE)*VLOOKUP($B$4,Other_regional_data,8,FALSE)</f>
        <v>0</v>
      </c>
      <c r="D38" s="46">
        <f>'Intermediate calcs'!D91*VLOOKUP(IF(ISBLANK($A38),$B38,$A38),Radionuclide_specific,8,FALSE)*VLOOKUP($B$4,Other_regional_data,5,FALSE)*VLOOKUP($B$4,Interim_regional_data,6,FALSE)*VLOOKUP($B$4,Other_regional_data,9,FALSE)</f>
        <v>3.8263715537107605E-6</v>
      </c>
      <c r="E38" s="47">
        <f>'Intermediate calcs'!E43*VLOOKUP(IF(ISBLANK($A38),$B38,$A38),Radionuclide_specific,8,FALSE)*Other_Yffw_small*Other_Lriver_small</f>
        <v>1.293103448275862E-5</v>
      </c>
      <c r="F38" s="47">
        <f>'Intermediate calcs'!F43*VLOOKUP(IF(ISBLANK($A38),$B38,$A38),Radionuclide_specific,8,FALSE)*Other_Yffw_large*Other_Lriver_large</f>
        <v>3.0991735537190077E-7</v>
      </c>
      <c r="G38" s="46">
        <f t="shared" si="0"/>
        <v>2.1286800000000001E-4</v>
      </c>
      <c r="H38" s="46">
        <f t="shared" si="1"/>
        <v>2.1286800000000001E-4</v>
      </c>
      <c r="I38" s="47">
        <f t="shared" si="2"/>
        <v>2.2579903448275863E-4</v>
      </c>
      <c r="J38" s="47">
        <f t="shared" si="3"/>
        <v>2.1700428890908266E-4</v>
      </c>
    </row>
    <row r="39" spans="1:10">
      <c r="A39" t="s">
        <v>9</v>
      </c>
      <c r="C39" s="46">
        <f>'Intermediate calcs'!C92*VLOOKUP(IF(ISBLANK($A39),$B39,$A39),Radionuclide_specific,8,FALSE)*VLOOKUP($B$4,Other_regional_data,5,FALSE)*VLOOKUP($B$4,Interim_regional_data,5,FALSE)*VLOOKUP($B$4,Other_regional_data,8,FALSE)</f>
        <v>0</v>
      </c>
      <c r="D39" s="46">
        <f>'Intermediate calcs'!D92*VLOOKUP(IF(ISBLANK($A39),$B39,$A39),Radionuclide_specific,8,FALSE)*VLOOKUP($B$4,Other_regional_data,5,FALSE)*VLOOKUP($B$4,Interim_regional_data,6,FALSE)*VLOOKUP($B$4,Other_regional_data,9,FALSE)</f>
        <v>4.3561768457630205E-6</v>
      </c>
      <c r="E39" s="47">
        <f>'Intermediate calcs'!E44*VLOOKUP(IF(ISBLANK($A39),$B39,$A39),Radionuclide_specific,8,FALSE)*Other_Yffw_small*Other_Lriver_small</f>
        <v>1.4117647058823528E-4</v>
      </c>
      <c r="F39" s="47">
        <f>'Intermediate calcs'!F44*VLOOKUP(IF(ISBLANK($A39),$B39,$A39),Radionuclide_specific,8,FALSE)*Other_Yffw_large*Other_Lriver_large</f>
        <v>3.934426229508197E-6</v>
      </c>
      <c r="G39" s="46">
        <f t="shared" si="0"/>
        <v>1.7029440000000001E-4</v>
      </c>
      <c r="H39" s="46">
        <f t="shared" si="1"/>
        <v>1.7029440000000001E-4</v>
      </c>
      <c r="I39" s="47">
        <f t="shared" si="2"/>
        <v>3.1147087058823529E-4</v>
      </c>
      <c r="J39" s="47">
        <f t="shared" si="3"/>
        <v>1.7858500307527122E-4</v>
      </c>
    </row>
    <row r="41" spans="1:10" s="115" customFormat="1" ht="25.5" customHeight="1">
      <c r="A41" s="44" t="s">
        <v>297</v>
      </c>
      <c r="B41" s="72" t="s">
        <v>62</v>
      </c>
      <c r="C41" s="134" t="s">
        <v>153</v>
      </c>
      <c r="D41" s="134"/>
      <c r="E41" s="134" t="s">
        <v>154</v>
      </c>
      <c r="F41" s="134"/>
      <c r="G41" s="134"/>
      <c r="H41" s="134"/>
      <c r="I41" s="134" t="s">
        <v>64</v>
      </c>
      <c r="J41" s="134"/>
    </row>
    <row r="42" spans="1:10">
      <c r="A42" s="129" t="s">
        <v>149</v>
      </c>
      <c r="B42" s="129" t="s">
        <v>150</v>
      </c>
      <c r="C42" s="131" t="s">
        <v>188</v>
      </c>
      <c r="D42" s="131"/>
      <c r="E42" s="132" t="s">
        <v>184</v>
      </c>
      <c r="F42" s="132"/>
      <c r="G42" s="131" t="s">
        <v>185</v>
      </c>
      <c r="H42" s="131"/>
      <c r="I42" s="132" t="s">
        <v>187</v>
      </c>
      <c r="J42" s="132"/>
    </row>
    <row r="43" spans="1:10">
      <c r="A43" s="129"/>
      <c r="B43" s="129"/>
      <c r="C43" s="70" t="s">
        <v>73</v>
      </c>
      <c r="D43" s="70" t="s">
        <v>74</v>
      </c>
      <c r="E43" s="69" t="s">
        <v>73</v>
      </c>
      <c r="F43" s="69" t="s">
        <v>74</v>
      </c>
      <c r="G43" s="70" t="s">
        <v>73</v>
      </c>
      <c r="H43" s="70" t="s">
        <v>74</v>
      </c>
      <c r="I43" s="71" t="s">
        <v>73</v>
      </c>
      <c r="J43" s="71" t="s">
        <v>74</v>
      </c>
    </row>
    <row r="44" spans="1:10">
      <c r="A44" s="4" t="s">
        <v>33</v>
      </c>
      <c r="B44" s="4"/>
      <c r="C44" s="46">
        <f>'Intermediate calcs'!C97*VLOOKUP(IF(ISBLANK($A44),$B44,$A44),Radionuclide_specific,8,FALSE)*VLOOKUP($B$41,Other_regional_data,5,FALSE)*VLOOKUP($B$41,Interim_regional_data,5,FALSE)*VLOOKUP($B$41,Other_regional_data,8,FALSE)</f>
        <v>0</v>
      </c>
      <c r="D44" s="46">
        <f>'Intermediate calcs'!D97*VLOOKUP(IF(ISBLANK($A44),$B44,$A44),Radionuclide_specific,8,FALSE)*VLOOKUP($B$41,Other_regional_data,5,FALSE)*VLOOKUP($B$41,Interim_regional_data,6,FALSE)*VLOOKUP($B$41,Other_regional_data,9,FALSE)</f>
        <v>6.6756572836267873E-11</v>
      </c>
      <c r="E44" s="47">
        <f t="shared" ref="E44:H63" si="18">E7</f>
        <v>1.404E-10</v>
      </c>
      <c r="F44" s="47">
        <f t="shared" si="18"/>
        <v>7.0199999999999988E-11</v>
      </c>
      <c r="G44" s="46">
        <f t="shared" si="18"/>
        <v>5.6764799999999995E-8</v>
      </c>
      <c r="H44" s="46">
        <f t="shared" si="18"/>
        <v>5.6764799999999995E-8</v>
      </c>
      <c r="I44" s="47">
        <f>C44+E44+G44</f>
        <v>5.6905199999999997E-8</v>
      </c>
      <c r="J44" s="47">
        <f>D44+F44+H44</f>
        <v>5.6901756572836263E-8</v>
      </c>
    </row>
    <row r="45" spans="1:10">
      <c r="A45" s="4"/>
      <c r="B45" s="4" t="s">
        <v>43</v>
      </c>
      <c r="C45" s="46">
        <f>'Intermediate calcs'!C98*VLOOKUP(IF(ISBLANK($A45),$B45,$A45),Radionuclide_specific,8,FALSE)*VLOOKUP($B$41,Other_regional_data,5,FALSE)*VLOOKUP($B$41,Interim_regional_data,5,FALSE)*VLOOKUP($B$41,Other_regional_data,8,FALSE)</f>
        <v>0</v>
      </c>
      <c r="D45" s="46">
        <f>'Intermediate calcs'!D98*VLOOKUP(IF(ISBLANK($A45),$B45,$A45),Radionuclide_specific,8,FALSE)*VLOOKUP($B$41,Other_regional_data,5,FALSE)*VLOOKUP($B$41,Interim_regional_data,6,FALSE)*VLOOKUP($B$41,Other_regional_data,9,FALSE)</f>
        <v>3.4542521048398454E-10</v>
      </c>
      <c r="E45" s="47">
        <f t="shared" si="18"/>
        <v>3.9639599999999992E-14</v>
      </c>
      <c r="F45" s="47">
        <f t="shared" si="18"/>
        <v>1.9819799999999996E-14</v>
      </c>
      <c r="G45" s="46">
        <f t="shared" si="18"/>
        <v>1.3245119999999998E-7</v>
      </c>
      <c r="H45" s="46">
        <f t="shared" si="18"/>
        <v>1.3245119999999998E-7</v>
      </c>
      <c r="I45" s="47">
        <f t="shared" ref="I45:I76" si="19">C45+E45+G45</f>
        <v>1.3245123963959997E-7</v>
      </c>
      <c r="J45" s="47">
        <f t="shared" ref="J45:J76" si="20">D45+F45+H45</f>
        <v>1.3279664503028397E-7</v>
      </c>
    </row>
    <row r="46" spans="1:10">
      <c r="A46" s="4" t="s">
        <v>10</v>
      </c>
      <c r="B46" s="4"/>
      <c r="C46" s="46">
        <f>'Intermediate calcs'!C99*VLOOKUP(IF(ISBLANK($A46),$B46,$A46),Radionuclide_specific,8,FALSE)*VLOOKUP($B$41,Other_regional_data,5,FALSE)*VLOOKUP($B$41,Interim_regional_data,5,FALSE)*VLOOKUP($B$41,Other_regional_data,8,FALSE)</f>
        <v>0</v>
      </c>
      <c r="D46" s="46">
        <f>'Intermediate calcs'!D99*VLOOKUP(IF(ISBLANK($A46),$B46,$A46),Radionuclide_specific,8,FALSE)*VLOOKUP($B$41,Other_regional_data,5,FALSE)*VLOOKUP($B$41,Interim_regional_data,6,FALSE)*VLOOKUP($B$41,Other_regional_data,9,FALSE)</f>
        <v>1.1215093316616611E-5</v>
      </c>
      <c r="E46" s="47">
        <f t="shared" si="18"/>
        <v>2.3197680231976806E-3</v>
      </c>
      <c r="F46" s="47">
        <f t="shared" si="18"/>
        <v>1.1571072319201997E-3</v>
      </c>
      <c r="G46" s="46">
        <f t="shared" si="18"/>
        <v>1.8290879999999999E-6</v>
      </c>
      <c r="H46" s="46">
        <f t="shared" si="18"/>
        <v>1.8290879999999999E-6</v>
      </c>
      <c r="I46" s="47">
        <f t="shared" si="19"/>
        <v>2.3215971111976807E-3</v>
      </c>
      <c r="J46" s="47">
        <f t="shared" si="20"/>
        <v>1.1701514132368162E-3</v>
      </c>
    </row>
    <row r="47" spans="1:10">
      <c r="A47" s="4" t="s">
        <v>240</v>
      </c>
      <c r="B47" s="4"/>
      <c r="C47" s="46">
        <f>'Intermediate calcs'!C100*VLOOKUP(IF(ISBLANK($A47),$B47,$A47),Radionuclide_specific,8,FALSE)*VLOOKUP($B$41,Other_regional_data,5,FALSE)*VLOOKUP($B$41,Interim_regional_data,5,FALSE)*VLOOKUP($B$41,Other_regional_data,8,FALSE)</f>
        <v>0</v>
      </c>
      <c r="D47" s="46">
        <f>'Intermediate calcs'!D100*VLOOKUP(IF(ISBLANK($A47),$B47,$A47),Radionuclide_specific,8,FALSE)*VLOOKUP($B$41,Other_regional_data,5,FALSE)*VLOOKUP($B$41,Interim_regional_data,6,FALSE)*VLOOKUP($B$41,Other_regional_data,9,FALSE)</f>
        <v>7.2518494912155801E-7</v>
      </c>
      <c r="E47" s="47">
        <f t="shared" si="18"/>
        <v>6.1354581673306769E-6</v>
      </c>
      <c r="F47" s="47">
        <f t="shared" si="18"/>
        <v>2.8000000000000003E-6</v>
      </c>
      <c r="G47" s="46">
        <f t="shared" si="18"/>
        <v>1.3112668800000002E-6</v>
      </c>
      <c r="H47" s="46">
        <f t="shared" si="18"/>
        <v>1.3112668800000002E-6</v>
      </c>
      <c r="I47" s="47">
        <f t="shared" si="19"/>
        <v>7.4467250473306775E-6</v>
      </c>
      <c r="J47" s="47">
        <f t="shared" si="20"/>
        <v>4.8364518291215584E-6</v>
      </c>
    </row>
    <row r="48" spans="1:10">
      <c r="A48" s="4" t="s">
        <v>237</v>
      </c>
      <c r="B48" s="4"/>
      <c r="C48" s="46">
        <f>'Intermediate calcs'!C101*VLOOKUP(IF(ISBLANK($A48),$B48,$A48),Radionuclide_specific,8,FALSE)*VLOOKUP($B$41,Other_regional_data,5,FALSE)*VLOOKUP($B$41,Interim_regional_data,5,FALSE)*VLOOKUP($B$41,Other_regional_data,8,FALSE)</f>
        <v>0</v>
      </c>
      <c r="D48" s="46">
        <f>'Intermediate calcs'!D101*VLOOKUP(IF(ISBLANK($A48),$B48,$A48),Radionuclide_specific,8,FALSE)*VLOOKUP($B$41,Other_regional_data,5,FALSE)*VLOOKUP($B$41,Interim_regional_data,6,FALSE)*VLOOKUP($B$41,Other_regional_data,9,FALSE)</f>
        <v>1.5453072405604814E-7</v>
      </c>
      <c r="E48" s="47">
        <f t="shared" si="18"/>
        <v>6.6046511627906978E-7</v>
      </c>
      <c r="F48" s="47">
        <f t="shared" si="18"/>
        <v>2.1037037037037039E-8</v>
      </c>
      <c r="G48" s="46">
        <f t="shared" si="18"/>
        <v>8.060601599999999E-7</v>
      </c>
      <c r="H48" s="46">
        <f t="shared" si="18"/>
        <v>8.060601599999999E-7</v>
      </c>
      <c r="I48" s="47">
        <f t="shared" ref="I48" si="21">C48+E48+G48</f>
        <v>1.4665252762790697E-6</v>
      </c>
      <c r="J48" s="47">
        <f t="shared" ref="J48" si="22">D48+F48+H48</f>
        <v>9.8162792109308512E-7</v>
      </c>
    </row>
    <row r="49" spans="1:10">
      <c r="A49" s="4" t="s">
        <v>236</v>
      </c>
      <c r="B49" s="4"/>
      <c r="C49" s="46">
        <f>'Intermediate calcs'!C102*VLOOKUP(IF(ISBLANK($A49),$B49,$A49),Radionuclide_specific,8,FALSE)*VLOOKUP($B$41,Other_regional_data,5,FALSE)*VLOOKUP($B$41,Interim_regional_data,5,FALSE)*VLOOKUP($B$41,Other_regional_data,8,FALSE)</f>
        <v>0</v>
      </c>
      <c r="D49" s="46">
        <f>'Intermediate calcs'!D102*VLOOKUP(IF(ISBLANK($A49),$B49,$A49),Radionuclide_specific,8,FALSE)*VLOOKUP($B$41,Other_regional_data,5,FALSE)*VLOOKUP($B$41,Interim_regional_data,6,FALSE)*VLOOKUP($B$41,Other_regional_data,9,FALSE)</f>
        <v>9.9401417349735373E-8</v>
      </c>
      <c r="E49" s="47">
        <f t="shared" si="18"/>
        <v>2.9914893617021279E-7</v>
      </c>
      <c r="F49" s="47">
        <f t="shared" si="18"/>
        <v>1.222608695652174E-8</v>
      </c>
      <c r="G49" s="46">
        <f t="shared" si="18"/>
        <v>1.2601785600000002E-6</v>
      </c>
      <c r="H49" s="46">
        <f t="shared" si="18"/>
        <v>1.2601785600000002E-6</v>
      </c>
      <c r="I49" s="47">
        <f t="shared" ref="I49" si="23">C49+E49+G49</f>
        <v>1.559327496170213E-6</v>
      </c>
      <c r="J49" s="47">
        <f t="shared" ref="J49" si="24">D49+F49+H49</f>
        <v>1.3718060643062574E-6</v>
      </c>
    </row>
    <row r="50" spans="1:10">
      <c r="A50" s="4" t="s">
        <v>11</v>
      </c>
      <c r="B50" s="4"/>
      <c r="C50" s="46">
        <f>'Intermediate calcs'!C103*VLOOKUP(IF(ISBLANK($A50),$B50,$A50),Radionuclide_specific,8,FALSE)*VLOOKUP($B$41,Other_regional_data,5,FALSE)*VLOOKUP($B$41,Interim_regional_data,5,FALSE)*VLOOKUP($B$41,Other_regional_data,8,FALSE)</f>
        <v>0</v>
      </c>
      <c r="D50" s="46">
        <f>'Intermediate calcs'!D103*VLOOKUP(IF(ISBLANK($A50),$B50,$A50),Radionuclide_specific,8,FALSE)*VLOOKUP($B$41,Other_regional_data,5,FALSE)*VLOOKUP($B$41,Interim_regional_data,6,FALSE)*VLOOKUP($B$41,Other_regional_data,9,FALSE)</f>
        <v>9.0998452582921704E-7</v>
      </c>
      <c r="E50" s="47">
        <f t="shared" si="18"/>
        <v>1.3744680851063828E-6</v>
      </c>
      <c r="F50" s="47">
        <f t="shared" si="18"/>
        <v>5.6173913043478253E-8</v>
      </c>
      <c r="G50" s="46">
        <f t="shared" si="18"/>
        <v>5.7900096000000006E-6</v>
      </c>
      <c r="H50" s="46">
        <f t="shared" si="18"/>
        <v>5.7900096000000006E-6</v>
      </c>
      <c r="I50" s="47">
        <f t="shared" si="19"/>
        <v>7.1644776851063831E-6</v>
      </c>
      <c r="J50" s="47">
        <f t="shared" si="20"/>
        <v>6.7561680388726956E-6</v>
      </c>
    </row>
    <row r="51" spans="1:10">
      <c r="A51" s="4" t="s">
        <v>178</v>
      </c>
      <c r="B51" s="4"/>
      <c r="C51" s="46">
        <f>'Intermediate calcs'!C104*VLOOKUP(IF(ISBLANK($A51),$B51,$A51),Radionuclide_specific,8,FALSE)*VLOOKUP($B$41,Other_regional_data,5,FALSE)*VLOOKUP($B$41,Interim_regional_data,5,FALSE)*VLOOKUP($B$41,Other_regional_data,8,FALSE)</f>
        <v>0</v>
      </c>
      <c r="D51" s="46">
        <f>'Intermediate calcs'!D104*VLOOKUP(IF(ISBLANK($A51),$B51,$A51),Radionuclide_specific,8,FALSE)*VLOOKUP($B$41,Other_regional_data,5,FALSE)*VLOOKUP($B$41,Interim_regional_data,6,FALSE)*VLOOKUP($B$41,Other_regional_data,9,FALSE)</f>
        <v>1.7823476048358612E-6</v>
      </c>
      <c r="E51" s="47">
        <f t="shared" si="18"/>
        <v>1.3128712871287129E-4</v>
      </c>
      <c r="F51" s="47">
        <f t="shared" si="18"/>
        <v>5.3040000000000007E-5</v>
      </c>
      <c r="G51" s="46">
        <f t="shared" si="18"/>
        <v>6.6414816E-6</v>
      </c>
      <c r="H51" s="46">
        <f t="shared" si="18"/>
        <v>6.6414816E-6</v>
      </c>
      <c r="I51" s="47">
        <f t="shared" ref="I51" si="25">C51+E51+G51</f>
        <v>1.3792861031287128E-4</v>
      </c>
      <c r="J51" s="47">
        <f t="shared" ref="J51" si="26">D51+F51+H51</f>
        <v>6.1463829204835876E-5</v>
      </c>
    </row>
    <row r="52" spans="1:10">
      <c r="A52" s="4" t="s">
        <v>17</v>
      </c>
      <c r="B52" s="4"/>
      <c r="C52" s="46">
        <f>'Intermediate calcs'!C105*VLOOKUP(IF(ISBLANK($A52),$B52,$A52),Radionuclide_specific,8,FALSE)*VLOOKUP($B$41,Other_regional_data,5,FALSE)*VLOOKUP($B$41,Interim_regional_data,5,FALSE)*VLOOKUP($B$41,Other_regional_data,8,FALSE)</f>
        <v>0</v>
      </c>
      <c r="D52" s="46">
        <f>'Intermediate calcs'!D105*VLOOKUP(IF(ISBLANK($A52),$B52,$A52),Radionuclide_specific,8,FALSE)*VLOOKUP($B$41,Other_regional_data,5,FALSE)*VLOOKUP($B$41,Interim_regional_data,6,FALSE)*VLOOKUP($B$41,Other_regional_data,9,FALSE)</f>
        <v>5.0124896800115481E-5</v>
      </c>
      <c r="E52" s="47">
        <f t="shared" si="18"/>
        <v>7.929687499999999E-7</v>
      </c>
      <c r="F52" s="47">
        <f t="shared" si="18"/>
        <v>2.5374999999999995E-7</v>
      </c>
      <c r="G52" s="46">
        <f t="shared" si="18"/>
        <v>7.1523647999999999E-5</v>
      </c>
      <c r="H52" s="46">
        <f t="shared" si="18"/>
        <v>7.1523647999999999E-5</v>
      </c>
      <c r="I52" s="47">
        <f t="shared" si="19"/>
        <v>7.2316616749999992E-5</v>
      </c>
      <c r="J52" s="47">
        <f t="shared" si="20"/>
        <v>1.2190229480011548E-4</v>
      </c>
    </row>
    <row r="53" spans="1:10">
      <c r="A53" s="4"/>
      <c r="B53" s="4" t="s">
        <v>105</v>
      </c>
      <c r="C53" s="46">
        <f>'Intermediate calcs'!C106*VLOOKUP(IF(ISBLANK($A53),$B53,$A53),Radionuclide_specific,8,FALSE)*VLOOKUP($B$41,Other_regional_data,5,FALSE)*VLOOKUP($B$41,Interim_regional_data,5,FALSE)*VLOOKUP($B$41,Other_regional_data,8,FALSE)</f>
        <v>0</v>
      </c>
      <c r="D53" s="46">
        <f>'Intermediate calcs'!D106*VLOOKUP(IF(ISBLANK($A53),$B53,$A53),Radionuclide_specific,8,FALSE)*VLOOKUP($B$41,Other_regional_data,5,FALSE)*VLOOKUP($B$41,Interim_regional_data,6,FALSE)*VLOOKUP($B$41,Other_regional_data,9,FALSE)</f>
        <v>0</v>
      </c>
      <c r="E53" s="47">
        <f t="shared" si="18"/>
        <v>0</v>
      </c>
      <c r="F53" s="47">
        <f t="shared" si="18"/>
        <v>0</v>
      </c>
      <c r="G53" s="46">
        <f t="shared" si="18"/>
        <v>0</v>
      </c>
      <c r="H53" s="46">
        <f t="shared" si="18"/>
        <v>0</v>
      </c>
      <c r="I53" s="47">
        <f t="shared" si="19"/>
        <v>0</v>
      </c>
      <c r="J53" s="47">
        <f t="shared" si="20"/>
        <v>0</v>
      </c>
    </row>
    <row r="54" spans="1:10">
      <c r="A54" s="4" t="s">
        <v>66</v>
      </c>
      <c r="B54" s="4"/>
      <c r="C54" s="46">
        <f>'Intermediate calcs'!C107*VLOOKUP(IF(ISBLANK($A54),$B54,$A54),Radionuclide_specific,8,FALSE)*VLOOKUP($B$41,Other_regional_data,5,FALSE)*VLOOKUP($B$41,Interim_regional_data,5,FALSE)*VLOOKUP($B$41,Other_regional_data,8,FALSE)</f>
        <v>0</v>
      </c>
      <c r="D54" s="46">
        <f>'Intermediate calcs'!D107*VLOOKUP(IF(ISBLANK($A54),$B54,$A54),Radionuclide_specific,8,FALSE)*VLOOKUP($B$41,Other_regional_data,5,FALSE)*VLOOKUP($B$41,Interim_regional_data,6,FALSE)*VLOOKUP($B$41,Other_regional_data,9,FALSE)</f>
        <v>1.7285666103848003E-7</v>
      </c>
      <c r="E54" s="47">
        <f t="shared" si="18"/>
        <v>2.3475609756097559E-6</v>
      </c>
      <c r="F54" s="47">
        <f t="shared" si="18"/>
        <v>1.1323529411764707E-7</v>
      </c>
      <c r="G54" s="46">
        <f t="shared" si="18"/>
        <v>1.1920607999999999E-5</v>
      </c>
      <c r="H54" s="46">
        <f t="shared" si="18"/>
        <v>1.1920607999999999E-5</v>
      </c>
      <c r="I54" s="47">
        <f t="shared" si="19"/>
        <v>1.4268168975609756E-5</v>
      </c>
      <c r="J54" s="47">
        <f t="shared" si="20"/>
        <v>1.2206699955156127E-5</v>
      </c>
    </row>
    <row r="55" spans="1:10">
      <c r="A55" s="4"/>
      <c r="B55" s="4" t="s">
        <v>106</v>
      </c>
      <c r="C55" s="46">
        <f>'Intermediate calcs'!C108*VLOOKUP(IF(ISBLANK($A55),$B55,$A55),Radionuclide_specific,8,FALSE)*VLOOKUP($B$41,Other_regional_data,5,FALSE)*VLOOKUP($B$41,Interim_regional_data,5,FALSE)*VLOOKUP($B$41,Other_regional_data,8,FALSE)</f>
        <v>0</v>
      </c>
      <c r="D55" s="46">
        <f>'Intermediate calcs'!D108*VLOOKUP(IF(ISBLANK($A55),$B55,$A55),Radionuclide_specific,8,FALSE)*VLOOKUP($B$41,Other_regional_data,5,FALSE)*VLOOKUP($B$41,Interim_regional_data,6,FALSE)*VLOOKUP($B$41,Other_regional_data,9,FALSE)</f>
        <v>0</v>
      </c>
      <c r="E55" s="47">
        <f t="shared" si="18"/>
        <v>0</v>
      </c>
      <c r="F55" s="47">
        <f t="shared" si="18"/>
        <v>0</v>
      </c>
      <c r="G55" s="46">
        <f t="shared" si="18"/>
        <v>0</v>
      </c>
      <c r="H55" s="46">
        <f t="shared" si="18"/>
        <v>0</v>
      </c>
      <c r="I55" s="47">
        <f t="shared" si="19"/>
        <v>0</v>
      </c>
      <c r="J55" s="47">
        <f t="shared" si="20"/>
        <v>0</v>
      </c>
    </row>
    <row r="56" spans="1:10">
      <c r="A56" s="4" t="s">
        <v>67</v>
      </c>
      <c r="B56" s="4"/>
      <c r="C56" s="46">
        <f>'Intermediate calcs'!C109*VLOOKUP(IF(ISBLANK($A56),$B56,$A56),Radionuclide_specific,8,FALSE)*VLOOKUP($B$41,Other_regional_data,5,FALSE)*VLOOKUP($B$41,Interim_regional_data,5,FALSE)*VLOOKUP($B$41,Other_regional_data,8,FALSE)</f>
        <v>0</v>
      </c>
      <c r="D56" s="46">
        <f>'Intermediate calcs'!D109*VLOOKUP(IF(ISBLANK($A56),$B56,$A56),Radionuclide_specific,8,FALSE)*VLOOKUP($B$41,Other_regional_data,5,FALSE)*VLOOKUP($B$41,Interim_regional_data,6,FALSE)*VLOOKUP($B$41,Other_regional_data,9,FALSE)</f>
        <v>1.6747856159337395E-4</v>
      </c>
      <c r="E56" s="47">
        <f t="shared" si="18"/>
        <v>3.0330882352941179E-5</v>
      </c>
      <c r="F56" s="47">
        <f t="shared" si="18"/>
        <v>5.1562499999999991E-6</v>
      </c>
      <c r="G56" s="46">
        <f t="shared" si="18"/>
        <v>2.8098576000000003E-4</v>
      </c>
      <c r="H56" s="46">
        <f t="shared" si="18"/>
        <v>2.8098576000000003E-4</v>
      </c>
      <c r="I56" s="47">
        <f t="shared" si="19"/>
        <v>3.113166423529412E-4</v>
      </c>
      <c r="J56" s="47">
        <f t="shared" si="20"/>
        <v>4.5362057159337399E-4</v>
      </c>
    </row>
    <row r="57" spans="1:10">
      <c r="A57" s="4" t="s">
        <v>239</v>
      </c>
      <c r="B57" s="4"/>
      <c r="C57" s="46">
        <f>'Intermediate calcs'!C110*VLOOKUP(IF(ISBLANK($A57),$B57,$A57),Radionuclide_specific,8,FALSE)*VLOOKUP($B$41,Other_regional_data,5,FALSE)*VLOOKUP($B$41,Interim_regional_data,5,FALSE)*VLOOKUP($B$41,Other_regional_data,8,FALSE)</f>
        <v>0</v>
      </c>
      <c r="D57" s="46">
        <f>'Intermediate calcs'!D110*VLOOKUP(IF(ISBLANK($A57),$B57,$A57),Radionuclide_specific,8,FALSE)*VLOOKUP($B$41,Other_regional_data,5,FALSE)*VLOOKUP($B$41,Interim_regional_data,6,FALSE)*VLOOKUP($B$41,Other_regional_data,9,FALSE)</f>
        <v>2.1310403435068238E-7</v>
      </c>
      <c r="E57" s="47">
        <f t="shared" si="18"/>
        <v>5.5147058823529418E-7</v>
      </c>
      <c r="F57" s="47">
        <f t="shared" si="18"/>
        <v>9.3750000000000002E-8</v>
      </c>
      <c r="G57" s="46">
        <f t="shared" si="18"/>
        <v>5.108832000000001E-6</v>
      </c>
      <c r="H57" s="46">
        <f t="shared" si="18"/>
        <v>5.108832000000001E-6</v>
      </c>
      <c r="I57" s="47">
        <f t="shared" ref="I57" si="27">C57+E57+G57</f>
        <v>5.6603025882352951E-6</v>
      </c>
      <c r="J57" s="47">
        <f t="shared" ref="J57" si="28">D57+F57+H57</f>
        <v>5.4156860343506831E-6</v>
      </c>
    </row>
    <row r="58" spans="1:10">
      <c r="A58" s="4" t="s">
        <v>177</v>
      </c>
      <c r="B58" s="4"/>
      <c r="C58" s="46">
        <f>'Intermediate calcs'!C111*VLOOKUP(IF(ISBLANK($A58),$B58,$A58),Radionuclide_specific,8,FALSE)*VLOOKUP($B$41,Other_regional_data,5,FALSE)*VLOOKUP($B$41,Interim_regional_data,5,FALSE)*VLOOKUP($B$41,Other_regional_data,8,FALSE)</f>
        <v>0</v>
      </c>
      <c r="D58" s="46">
        <f>'Intermediate calcs'!D111*VLOOKUP(IF(ISBLANK($A58),$B58,$A58),Radionuclide_specific,8,FALSE)*VLOOKUP($B$41,Other_regional_data,5,FALSE)*VLOOKUP($B$41,Interim_regional_data,6,FALSE)*VLOOKUP($B$41,Other_regional_data,9,FALSE)</f>
        <v>2.3555065597837865E-5</v>
      </c>
      <c r="E58" s="47">
        <f t="shared" si="18"/>
        <v>3.0063291139240513E-4</v>
      </c>
      <c r="F58" s="47">
        <f t="shared" si="18"/>
        <v>1.5322580645161292E-5</v>
      </c>
      <c r="G58" s="46">
        <f t="shared" si="18"/>
        <v>4.8533904000000011E-5</v>
      </c>
      <c r="H58" s="46">
        <f t="shared" si="18"/>
        <v>4.8533904000000011E-5</v>
      </c>
      <c r="I58" s="47">
        <f t="shared" ref="I58:I59" si="29">C58+E58+G58</f>
        <v>3.4916681539240511E-4</v>
      </c>
      <c r="J58" s="47">
        <f t="shared" ref="J58:J59" si="30">D58+F58+H58</f>
        <v>8.7411550242999162E-5</v>
      </c>
    </row>
    <row r="59" spans="1:10">
      <c r="A59" s="4" t="s">
        <v>12</v>
      </c>
      <c r="B59" s="4"/>
      <c r="C59" s="46">
        <f>'Intermediate calcs'!C112*VLOOKUP(IF(ISBLANK($A59),$B59,$A59),Radionuclide_specific,8,FALSE)*VLOOKUP($B$41,Other_regional_data,5,FALSE)*VLOOKUP($B$41,Interim_regional_data,5,FALSE)*VLOOKUP($B$41,Other_regional_data,8,FALSE)</f>
        <v>0</v>
      </c>
      <c r="D59" s="46">
        <f>'Intermediate calcs'!D112*VLOOKUP(IF(ISBLANK($A59),$B59,$A59),Radionuclide_specific,8,FALSE)*VLOOKUP($B$41,Other_regional_data,5,FALSE)*VLOOKUP($B$41,Interim_regional_data,6,FALSE)*VLOOKUP($B$41,Other_regional_data,9,FALSE)</f>
        <v>1.9333383779895439E-5</v>
      </c>
      <c r="E59" s="47">
        <f t="shared" si="18"/>
        <v>2.0569620253164559E-4</v>
      </c>
      <c r="F59" s="47">
        <f t="shared" si="18"/>
        <v>1.0483870967741936E-5</v>
      </c>
      <c r="G59" s="46">
        <f t="shared" si="18"/>
        <v>3.3207408000000005E-5</v>
      </c>
      <c r="H59" s="46">
        <f t="shared" si="18"/>
        <v>3.3207408000000005E-5</v>
      </c>
      <c r="I59" s="47">
        <f t="shared" si="29"/>
        <v>2.3890361053164558E-4</v>
      </c>
      <c r="J59" s="47">
        <f t="shared" si="30"/>
        <v>6.3024662747637381E-5</v>
      </c>
    </row>
    <row r="60" spans="1:10">
      <c r="A60" s="4"/>
      <c r="B60" s="4" t="s">
        <v>107</v>
      </c>
      <c r="C60" s="46">
        <f>'Intermediate calcs'!C113*VLOOKUP(IF(ISBLANK($A60),$B60,$A60),Radionuclide_specific,8,FALSE)*VLOOKUP($B$41,Other_regional_data,5,FALSE)*VLOOKUP($B$41,Interim_regional_data,5,FALSE)*VLOOKUP($B$41,Other_regional_data,8,FALSE)</f>
        <v>0</v>
      </c>
      <c r="D60" s="46">
        <f>'Intermediate calcs'!D113*VLOOKUP(IF(ISBLANK($A60),$B60,$A60),Radionuclide_specific,8,FALSE)*VLOOKUP($B$41,Other_regional_data,5,FALSE)*VLOOKUP($B$41,Interim_regional_data,6,FALSE)*VLOOKUP($B$41,Other_regional_data,9,FALSE)</f>
        <v>0</v>
      </c>
      <c r="E60" s="47">
        <f t="shared" si="18"/>
        <v>0</v>
      </c>
      <c r="F60" s="47">
        <f t="shared" si="18"/>
        <v>0</v>
      </c>
      <c r="G60" s="46">
        <f t="shared" si="18"/>
        <v>0</v>
      </c>
      <c r="H60" s="46">
        <f t="shared" si="18"/>
        <v>0</v>
      </c>
      <c r="I60" s="47">
        <f t="shared" si="19"/>
        <v>0</v>
      </c>
      <c r="J60" s="47">
        <f t="shared" si="20"/>
        <v>0</v>
      </c>
    </row>
    <row r="61" spans="1:10">
      <c r="A61" s="4" t="s">
        <v>22</v>
      </c>
      <c r="B61" s="4"/>
      <c r="C61" s="46">
        <f>'Intermediate calcs'!C114*VLOOKUP(IF(ISBLANK($A61),$B61,$A61),Radionuclide_specific,8,FALSE)*VLOOKUP($B$41,Other_regional_data,5,FALSE)*VLOOKUP($B$41,Interim_regional_data,5,FALSE)*VLOOKUP($B$41,Other_regional_data,8,FALSE)</f>
        <v>0</v>
      </c>
      <c r="D61" s="46">
        <f>'Intermediate calcs'!D114*VLOOKUP(IF(ISBLANK($A61),$B61,$A61),Radionuclide_specific,8,FALSE)*VLOOKUP($B$41,Other_regional_data,5,FALSE)*VLOOKUP($B$41,Interim_regional_data,6,FALSE)*VLOOKUP($B$41,Other_regional_data,9,FALSE)</f>
        <v>7.1604470499419441E-5</v>
      </c>
      <c r="E61" s="47">
        <f t="shared" si="18"/>
        <v>1.4374999999999997E-4</v>
      </c>
      <c r="F61" s="47">
        <f t="shared" si="18"/>
        <v>1.4374999999999999E-5</v>
      </c>
      <c r="G61" s="46">
        <f t="shared" si="18"/>
        <v>1.1750313599999999E-3</v>
      </c>
      <c r="H61" s="46">
        <f t="shared" si="18"/>
        <v>1.1750313599999999E-3</v>
      </c>
      <c r="I61" s="47">
        <f t="shared" si="19"/>
        <v>1.3187813599999999E-3</v>
      </c>
      <c r="J61" s="47">
        <f t="shared" si="20"/>
        <v>1.2610108304994194E-3</v>
      </c>
    </row>
    <row r="62" spans="1:10">
      <c r="A62" s="4" t="s">
        <v>19</v>
      </c>
      <c r="B62" s="4"/>
      <c r="C62" s="46">
        <f>'Intermediate calcs'!C115*VLOOKUP(IF(ISBLANK($A62),$B62,$A62),Radionuclide_specific,8,FALSE)*VLOOKUP($B$41,Other_regional_data,5,FALSE)*VLOOKUP($B$41,Interim_regional_data,5,FALSE)*VLOOKUP($B$41,Other_regional_data,8,FALSE)</f>
        <v>0</v>
      </c>
      <c r="D62" s="46">
        <f>'Intermediate calcs'!D115*VLOOKUP(IF(ISBLANK($A62),$B62,$A62),Radionuclide_specific,8,FALSE)*VLOOKUP($B$41,Other_regional_data,5,FALSE)*VLOOKUP($B$41,Interim_regional_data,6,FALSE)*VLOOKUP($B$41,Other_regional_data,9,FALSE)</f>
        <v>1.4967780990886788E-5</v>
      </c>
      <c r="E62" s="47">
        <f t="shared" si="18"/>
        <v>2.3999999999999998E-4</v>
      </c>
      <c r="F62" s="47">
        <f t="shared" si="18"/>
        <v>1.0285714285714285E-5</v>
      </c>
      <c r="G62" s="46">
        <f t="shared" si="18"/>
        <v>2.0435328000000001E-3</v>
      </c>
      <c r="H62" s="46">
        <f t="shared" si="18"/>
        <v>2.0435328000000001E-3</v>
      </c>
      <c r="I62" s="47">
        <f t="shared" si="19"/>
        <v>2.2835327999999998E-3</v>
      </c>
      <c r="J62" s="47">
        <f t="shared" si="20"/>
        <v>2.0687862952766013E-3</v>
      </c>
    </row>
    <row r="63" spans="1:10">
      <c r="A63" s="4" t="s">
        <v>14</v>
      </c>
      <c r="B63" s="4"/>
      <c r="C63" s="46">
        <f>'Intermediate calcs'!C116*VLOOKUP(IF(ISBLANK($A63),$B63,$A63),Radionuclide_specific,8,FALSE)*VLOOKUP($B$41,Other_regional_data,5,FALSE)*VLOOKUP($B$41,Interim_regional_data,5,FALSE)*VLOOKUP($B$41,Other_regional_data,8,FALSE)</f>
        <v>0</v>
      </c>
      <c r="D63" s="46">
        <f>'Intermediate calcs'!D116*VLOOKUP(IF(ISBLANK($A63),$B63,$A63),Radionuclide_specific,8,FALSE)*VLOOKUP($B$41,Other_regional_data,5,FALSE)*VLOOKUP($B$41,Interim_regional_data,6,FALSE)*VLOOKUP($B$41,Other_regional_data,9,FALSE)</f>
        <v>1.8593579490028733E-4</v>
      </c>
      <c r="E63" s="47">
        <f t="shared" si="18"/>
        <v>9.7560975609756076E-6</v>
      </c>
      <c r="F63" s="47">
        <f t="shared" si="18"/>
        <v>1.1914893617021278E-6</v>
      </c>
      <c r="G63" s="46">
        <f t="shared" si="18"/>
        <v>4.7682432000000006E-4</v>
      </c>
      <c r="H63" s="46">
        <f t="shared" si="18"/>
        <v>4.7682432000000006E-4</v>
      </c>
      <c r="I63" s="47">
        <f t="shared" si="19"/>
        <v>4.8658041756097567E-4</v>
      </c>
      <c r="J63" s="47">
        <f t="shared" si="20"/>
        <v>6.6395160426198948E-4</v>
      </c>
    </row>
    <row r="64" spans="1:10">
      <c r="A64" s="4" t="s">
        <v>156</v>
      </c>
      <c r="B64" s="4"/>
      <c r="C64" s="46">
        <f>'Intermediate calcs'!C117*VLOOKUP(IF(ISBLANK($A64),$B64,$A64),Radionuclide_specific,8,FALSE)*VLOOKUP($B$41,Other_regional_data,5,FALSE)*VLOOKUP($B$41,Interim_regional_data,5,FALSE)*VLOOKUP($B$41,Other_regional_data,8,FALSE)</f>
        <v>0</v>
      </c>
      <c r="D64" s="46">
        <f>'Intermediate calcs'!D117*VLOOKUP(IF(ISBLANK($A64),$B64,$A64),Radionuclide_specific,8,FALSE)*VLOOKUP($B$41,Other_regional_data,5,FALSE)*VLOOKUP($B$41,Interim_regional_data,6,FALSE)*VLOOKUP($B$41,Other_regional_data,9,FALSE)</f>
        <v>4.2047647915188541E-6</v>
      </c>
      <c r="E64" s="47">
        <f t="shared" ref="E64:H76" si="31">E27</f>
        <v>2.6249999999999999E-6</v>
      </c>
      <c r="F64" s="47">
        <f t="shared" si="31"/>
        <v>6.5624999999999994E-8</v>
      </c>
      <c r="G64" s="46">
        <f t="shared" si="31"/>
        <v>1.9867679999999998E-4</v>
      </c>
      <c r="H64" s="46">
        <f t="shared" si="31"/>
        <v>1.9867679999999998E-4</v>
      </c>
      <c r="I64" s="47">
        <f t="shared" ref="I64" si="32">C64+E64+G64</f>
        <v>2.0130179999999998E-4</v>
      </c>
      <c r="J64" s="47">
        <f t="shared" ref="J64" si="33">D64+F64+H64</f>
        <v>2.0294718979151883E-4</v>
      </c>
    </row>
    <row r="65" spans="1:10">
      <c r="A65" s="4" t="s">
        <v>20</v>
      </c>
      <c r="B65" s="4"/>
      <c r="C65" s="46">
        <f>'Intermediate calcs'!C118*VLOOKUP(IF(ISBLANK($A65),$B65,$A65),Radionuclide_specific,8,FALSE)*VLOOKUP($B$41,Other_regional_data,5,FALSE)*VLOOKUP($B$41,Interim_regional_data,5,FALSE)*VLOOKUP($B$41,Other_regional_data,8,FALSE)</f>
        <v>0</v>
      </c>
      <c r="D65" s="46">
        <f>'Intermediate calcs'!D118*VLOOKUP(IF(ISBLANK($A65),$B65,$A65),Radionuclide_specific,8,FALSE)*VLOOKUP($B$41,Other_regional_data,5,FALSE)*VLOOKUP($B$41,Interim_regional_data,6,FALSE)*VLOOKUP($B$41,Other_regional_data,9,FALSE)</f>
        <v>4.605218581187317E-6</v>
      </c>
      <c r="E65" s="47">
        <f t="shared" si="31"/>
        <v>2.875E-6</v>
      </c>
      <c r="F65" s="47">
        <f t="shared" si="31"/>
        <v>7.1875E-8</v>
      </c>
      <c r="G65" s="46">
        <f t="shared" si="31"/>
        <v>2.1759839999999997E-4</v>
      </c>
      <c r="H65" s="46">
        <f t="shared" si="31"/>
        <v>2.1759839999999997E-4</v>
      </c>
      <c r="I65" s="47">
        <f t="shared" si="19"/>
        <v>2.2047339999999998E-4</v>
      </c>
      <c r="J65" s="47">
        <f t="shared" si="20"/>
        <v>2.2227549358118728E-4</v>
      </c>
    </row>
    <row r="66" spans="1:10">
      <c r="A66" s="4"/>
      <c r="B66" s="4" t="s">
        <v>29</v>
      </c>
      <c r="C66" s="46">
        <f>'Intermediate calcs'!C119*VLOOKUP(IF(ISBLANK($A66),$B66,$A66),Radionuclide_specific,8,FALSE)*VLOOKUP($B$41,Other_regional_data,5,FALSE)*VLOOKUP($B$41,Interim_regional_data,5,FALSE)*VLOOKUP($B$41,Other_regional_data,8,FALSE)</f>
        <v>0</v>
      </c>
      <c r="D66" s="46">
        <f>'Intermediate calcs'!D119*VLOOKUP(IF(ISBLANK($A66),$B66,$A66),Radionuclide_specific,8,FALSE)*VLOOKUP($B$41,Other_regional_data,5,FALSE)*VLOOKUP($B$41,Interim_regional_data,6,FALSE)*VLOOKUP($B$41,Other_regional_data,9,FALSE)</f>
        <v>1.5261682763379909E-4</v>
      </c>
      <c r="E66" s="47">
        <f t="shared" si="31"/>
        <v>5.7499999999999992E-6</v>
      </c>
      <c r="F66" s="47">
        <f t="shared" si="31"/>
        <v>1.4375E-7</v>
      </c>
      <c r="G66" s="46">
        <f t="shared" si="31"/>
        <v>1.1750313599999999E-3</v>
      </c>
      <c r="H66" s="46">
        <f t="shared" si="31"/>
        <v>1.1750313599999999E-3</v>
      </c>
      <c r="I66" s="47">
        <f t="shared" si="19"/>
        <v>1.1807813599999998E-3</v>
      </c>
      <c r="J66" s="47">
        <f t="shared" si="20"/>
        <v>1.327791937633799E-3</v>
      </c>
    </row>
    <row r="67" spans="1:10">
      <c r="A67" s="4"/>
      <c r="B67" s="4" t="s">
        <v>108</v>
      </c>
      <c r="C67" s="46">
        <f>'Intermediate calcs'!C120*VLOOKUP(IF(ISBLANK($A67),$B67,$A67),Radionuclide_specific,8,FALSE)*VLOOKUP($B$41,Other_regional_data,5,FALSE)*VLOOKUP($B$41,Interim_regional_data,5,FALSE)*VLOOKUP($B$41,Other_regional_data,8,FALSE)</f>
        <v>0</v>
      </c>
      <c r="D67" s="46">
        <f>'Intermediate calcs'!D120*VLOOKUP(IF(ISBLANK($A67),$B67,$A67),Radionuclide_specific,8,FALSE)*VLOOKUP($B$41,Other_regional_data,5,FALSE)*VLOOKUP($B$41,Interim_regional_data,6,FALSE)*VLOOKUP($B$41,Other_regional_data,9,FALSE)</f>
        <v>0</v>
      </c>
      <c r="E67" s="47">
        <f t="shared" si="31"/>
        <v>1.3437499999999999E-8</v>
      </c>
      <c r="F67" s="47">
        <f t="shared" si="31"/>
        <v>3.3593750000000006E-10</v>
      </c>
      <c r="G67" s="46">
        <f t="shared" si="31"/>
        <v>7.3226592000000011E-7</v>
      </c>
      <c r="H67" s="46">
        <f t="shared" si="31"/>
        <v>7.3226592000000011E-7</v>
      </c>
      <c r="I67" s="47">
        <f t="shared" si="19"/>
        <v>7.4570342000000014E-7</v>
      </c>
      <c r="J67" s="47">
        <f t="shared" si="20"/>
        <v>7.326018575000001E-7</v>
      </c>
    </row>
    <row r="68" spans="1:10">
      <c r="A68" s="4"/>
      <c r="B68" s="4" t="s">
        <v>109</v>
      </c>
      <c r="C68" s="46">
        <f>'Intermediate calcs'!C121*VLOOKUP(IF(ISBLANK($A68),$B68,$A68),Radionuclide_specific,8,FALSE)*VLOOKUP($B$41,Other_regional_data,5,FALSE)*VLOOKUP($B$41,Interim_regional_data,5,FALSE)*VLOOKUP($B$41,Other_regional_data,8,FALSE)</f>
        <v>0</v>
      </c>
      <c r="D68" s="46">
        <f>'Intermediate calcs'!D121*VLOOKUP(IF(ISBLANK($A68),$B68,$A68),Radionuclide_specific,8,FALSE)*VLOOKUP($B$41,Other_regional_data,5,FALSE)*VLOOKUP($B$41,Interim_regional_data,6,FALSE)*VLOOKUP($B$41,Other_regional_data,9,FALSE)</f>
        <v>9.7442072199781205E-7</v>
      </c>
      <c r="E68" s="47">
        <f t="shared" si="31"/>
        <v>8.9999999999999996E-7</v>
      </c>
      <c r="F68" s="47">
        <f t="shared" si="31"/>
        <v>2.25E-8</v>
      </c>
      <c r="G68" s="46">
        <f t="shared" si="31"/>
        <v>6.8117759999999997E-5</v>
      </c>
      <c r="H68" s="46">
        <f t="shared" si="31"/>
        <v>6.8117759999999997E-5</v>
      </c>
      <c r="I68" s="47">
        <f t="shared" si="19"/>
        <v>6.9017759999999992E-5</v>
      </c>
      <c r="J68" s="47">
        <f t="shared" si="20"/>
        <v>6.9114680721997816E-5</v>
      </c>
    </row>
    <row r="69" spans="1:10">
      <c r="A69" s="4"/>
      <c r="B69" s="4" t="s">
        <v>110</v>
      </c>
      <c r="C69" s="46">
        <f>'Intermediate calcs'!C122*VLOOKUP(IF(ISBLANK($A69),$B69,$A69),Radionuclide_specific,8,FALSE)*VLOOKUP($B$41,Other_regional_data,5,FALSE)*VLOOKUP($B$41,Interim_regional_data,5,FALSE)*VLOOKUP($B$41,Other_regional_data,8,FALSE)</f>
        <v>0</v>
      </c>
      <c r="D69" s="46">
        <f>'Intermediate calcs'!D122*VLOOKUP(IF(ISBLANK($A69),$B69,$A69),Radionuclide_specific,8,FALSE)*VLOOKUP($B$41,Other_regional_data,5,FALSE)*VLOOKUP($B$41,Interim_regional_data,6,FALSE)*VLOOKUP($B$41,Other_regional_data,9,FALSE)</f>
        <v>2.4693808719782863E-9</v>
      </c>
      <c r="E69" s="47">
        <f t="shared" si="31"/>
        <v>3.1249999999999992E-7</v>
      </c>
      <c r="F69" s="47">
        <f t="shared" si="31"/>
        <v>7.8125000000000013E-9</v>
      </c>
      <c r="G69" s="46">
        <f t="shared" si="31"/>
        <v>1.0217664E-5</v>
      </c>
      <c r="H69" s="46">
        <f t="shared" si="31"/>
        <v>1.0217664E-5</v>
      </c>
      <c r="I69" s="47">
        <f t="shared" si="19"/>
        <v>1.0530163999999999E-5</v>
      </c>
      <c r="J69" s="47">
        <f t="shared" si="20"/>
        <v>1.0227945880871978E-5</v>
      </c>
    </row>
    <row r="70" spans="1:10">
      <c r="A70" s="4" t="s">
        <v>111</v>
      </c>
      <c r="B70" s="4"/>
      <c r="C70" s="46">
        <f>'Intermediate calcs'!C123*VLOOKUP(IF(ISBLANK($A70),$B70,$A70),Radionuclide_specific,8,FALSE)*VLOOKUP($B$41,Other_regional_data,5,FALSE)*VLOOKUP($B$41,Interim_regional_data,5,FALSE)*VLOOKUP($B$41,Other_regional_data,8,FALSE)</f>
        <v>0</v>
      </c>
      <c r="D70" s="46">
        <f>'Intermediate calcs'!D123*VLOOKUP(IF(ISBLANK($A70),$B70,$A70),Radionuclide_specific,8,FALSE)*VLOOKUP($B$41,Other_regional_data,5,FALSE)*VLOOKUP($B$41,Interim_regional_data,6,FALSE)*VLOOKUP($B$41,Other_regional_data,9,FALSE)</f>
        <v>6.8789174311018842E-6</v>
      </c>
      <c r="E70" s="47">
        <f t="shared" si="31"/>
        <v>4.6993006993006993E-7</v>
      </c>
      <c r="F70" s="47">
        <f t="shared" si="31"/>
        <v>2.294634146341464E-7</v>
      </c>
      <c r="G70" s="46">
        <f t="shared" si="31"/>
        <v>4.6357919999999993E-5</v>
      </c>
      <c r="H70" s="46">
        <f t="shared" si="31"/>
        <v>4.6357919999999993E-5</v>
      </c>
      <c r="I70" s="47">
        <f t="shared" ref="I70" si="34">C70+E70+G70</f>
        <v>4.682785006993006E-5</v>
      </c>
      <c r="J70" s="47">
        <f t="shared" ref="J70" si="35">D70+F70+H70</f>
        <v>5.3466300845736025E-5</v>
      </c>
    </row>
    <row r="71" spans="1:10">
      <c r="A71" s="4" t="s">
        <v>30</v>
      </c>
      <c r="B71" s="4"/>
      <c r="C71" s="46">
        <f>'Intermediate calcs'!C124*VLOOKUP(IF(ISBLANK($A71),$B71,$A71),Radionuclide_specific,8,FALSE)*VLOOKUP($B$41,Other_regional_data,5,FALSE)*VLOOKUP($B$41,Interim_regional_data,5,FALSE)*VLOOKUP($B$41,Other_regional_data,8,FALSE)</f>
        <v>0</v>
      </c>
      <c r="D71" s="46">
        <f>'Intermediate calcs'!D124*VLOOKUP(IF(ISBLANK($A71),$B71,$A71),Radionuclide_specific,8,FALSE)*VLOOKUP($B$41,Other_regional_data,5,FALSE)*VLOOKUP($B$41,Interim_regional_data,6,FALSE)*VLOOKUP($B$41,Other_regional_data,9,FALSE)</f>
        <v>6.3173731510119342E-6</v>
      </c>
      <c r="E71" s="47">
        <f t="shared" si="31"/>
        <v>4.315684315684316E-7</v>
      </c>
      <c r="F71" s="47">
        <f t="shared" si="31"/>
        <v>2.1073170731707321E-7</v>
      </c>
      <c r="G71" s="46">
        <f t="shared" si="31"/>
        <v>4.2573600000000002E-5</v>
      </c>
      <c r="H71" s="46">
        <f t="shared" si="31"/>
        <v>4.2573600000000002E-5</v>
      </c>
      <c r="I71" s="47">
        <f t="shared" si="19"/>
        <v>4.3005168431568435E-5</v>
      </c>
      <c r="J71" s="47">
        <f t="shared" si="20"/>
        <v>4.9101704858329008E-5</v>
      </c>
    </row>
    <row r="72" spans="1:10">
      <c r="A72" s="4"/>
      <c r="B72" s="4" t="s">
        <v>31</v>
      </c>
      <c r="C72" s="46">
        <f>'Intermediate calcs'!C125*VLOOKUP(IF(ISBLANK($A72),$B72,$A72),Radionuclide_specific,8,FALSE)*VLOOKUP($B$41,Other_regional_data,5,FALSE)*VLOOKUP($B$41,Interim_regional_data,5,FALSE)*VLOOKUP($B$41,Other_regional_data,8,FALSE)</f>
        <v>0</v>
      </c>
      <c r="D72" s="46">
        <f>'Intermediate calcs'!D125*VLOOKUP(IF(ISBLANK($A72),$B72,$A72),Radionuclide_specific,8,FALSE)*VLOOKUP($B$41,Other_regional_data,5,FALSE)*VLOOKUP($B$41,Interim_regional_data,6,FALSE)*VLOOKUP($B$41,Other_regional_data,9,FALSE)</f>
        <v>2.8930640113627002E-8</v>
      </c>
      <c r="E72" s="47">
        <f t="shared" si="31"/>
        <v>2.0379620379620385E-7</v>
      </c>
      <c r="F72" s="47">
        <f t="shared" si="31"/>
        <v>9.9512195121951228E-8</v>
      </c>
      <c r="G72" s="46">
        <f t="shared" si="31"/>
        <v>3.2166719999999997E-6</v>
      </c>
      <c r="H72" s="46">
        <f t="shared" si="31"/>
        <v>3.2166719999999997E-6</v>
      </c>
      <c r="I72" s="47">
        <f t="shared" si="19"/>
        <v>3.4204682037962034E-6</v>
      </c>
      <c r="J72" s="47">
        <f t="shared" si="20"/>
        <v>3.3451148352355777E-6</v>
      </c>
    </row>
    <row r="73" spans="1:10">
      <c r="A73" s="4"/>
      <c r="B73" s="4" t="s">
        <v>32</v>
      </c>
      <c r="C73" s="46">
        <f>'Intermediate calcs'!C126*VLOOKUP(IF(ISBLANK($A73),$B73,$A73),Radionuclide_specific,8,FALSE)*VLOOKUP($B$41,Other_regional_data,5,FALSE)*VLOOKUP($B$41,Interim_regional_data,5,FALSE)*VLOOKUP($B$41,Other_regional_data,8,FALSE)</f>
        <v>0</v>
      </c>
      <c r="D73" s="46">
        <f>'Intermediate calcs'!D126*VLOOKUP(IF(ISBLANK($A73),$B73,$A73),Radionuclide_specific,8,FALSE)*VLOOKUP($B$41,Other_regional_data,5,FALSE)*VLOOKUP($B$41,Interim_regional_data,6,FALSE)*VLOOKUP($B$41,Other_regional_data,9,FALSE)</f>
        <v>0</v>
      </c>
      <c r="E73" s="47">
        <f t="shared" si="31"/>
        <v>0</v>
      </c>
      <c r="F73" s="47">
        <f t="shared" si="31"/>
        <v>0</v>
      </c>
      <c r="G73" s="46">
        <f t="shared" si="31"/>
        <v>0</v>
      </c>
      <c r="H73" s="46">
        <f t="shared" si="31"/>
        <v>0</v>
      </c>
      <c r="I73" s="47">
        <f t="shared" si="19"/>
        <v>0</v>
      </c>
      <c r="J73" s="47">
        <f t="shared" si="20"/>
        <v>0</v>
      </c>
    </row>
    <row r="74" spans="1:10">
      <c r="A74" s="4" t="s">
        <v>13</v>
      </c>
      <c r="C74" s="46">
        <f>'Intermediate calcs'!C127*VLOOKUP(IF(ISBLANK($A74),$B74,$A74),Radionuclide_specific,8,FALSE)*VLOOKUP($B$41,Other_regional_data,5,FALSE)*VLOOKUP($B$41,Interim_regional_data,5,FALSE)*VLOOKUP($B$41,Other_regional_data,8,FALSE)</f>
        <v>0</v>
      </c>
      <c r="D74" s="46">
        <f>'Intermediate calcs'!D127*VLOOKUP(IF(ISBLANK($A74),$B74,$A74),Radionuclide_specific,8,FALSE)*VLOOKUP($B$41,Other_regional_data,5,FALSE)*VLOOKUP($B$41,Interim_regional_data,6,FALSE)*VLOOKUP($B$41,Other_regional_data,9,FALSE)</f>
        <v>6.5648162240731538E-6</v>
      </c>
      <c r="E74" s="47">
        <f t="shared" si="31"/>
        <v>1.293103448275862E-5</v>
      </c>
      <c r="F74" s="47">
        <f t="shared" si="31"/>
        <v>3.0991735537190077E-7</v>
      </c>
      <c r="G74" s="46">
        <f t="shared" si="31"/>
        <v>2.1286800000000001E-4</v>
      </c>
      <c r="H74" s="46">
        <f t="shared" si="31"/>
        <v>2.1286800000000001E-4</v>
      </c>
      <c r="I74" s="47">
        <f t="shared" si="19"/>
        <v>2.2579903448275863E-4</v>
      </c>
      <c r="J74" s="47">
        <f t="shared" si="20"/>
        <v>2.1974273357944506E-4</v>
      </c>
    </row>
    <row r="75" spans="1:10">
      <c r="A75" t="s">
        <v>18</v>
      </c>
      <c r="C75" s="46">
        <f>'Intermediate calcs'!C128*VLOOKUP(IF(ISBLANK($A75),$B75,$A75),Radionuclide_specific,8,FALSE)*VLOOKUP($B$41,Other_regional_data,5,FALSE)*VLOOKUP($B$41,Interim_regional_data,5,FALSE)*VLOOKUP($B$41,Other_regional_data,8,FALSE)</f>
        <v>0</v>
      </c>
      <c r="D75" s="46">
        <f>'Intermediate calcs'!D128*VLOOKUP(IF(ISBLANK($A75),$B75,$A75),Radionuclide_specific,8,FALSE)*VLOOKUP($B$41,Other_regional_data,5,FALSE)*VLOOKUP($B$41,Interim_regional_data,6,FALSE)*VLOOKUP($B$41,Other_regional_data,9,FALSE)</f>
        <v>6.5648162240731538E-6</v>
      </c>
      <c r="E75" s="47">
        <f t="shared" si="31"/>
        <v>1.293103448275862E-5</v>
      </c>
      <c r="F75" s="47">
        <f t="shared" si="31"/>
        <v>3.0991735537190077E-7</v>
      </c>
      <c r="G75" s="46">
        <f t="shared" si="31"/>
        <v>2.1286800000000001E-4</v>
      </c>
      <c r="H75" s="46">
        <f t="shared" si="31"/>
        <v>2.1286800000000001E-4</v>
      </c>
      <c r="I75" s="47">
        <f t="shared" si="19"/>
        <v>2.2579903448275863E-4</v>
      </c>
      <c r="J75" s="47">
        <f t="shared" si="20"/>
        <v>2.1974273357944506E-4</v>
      </c>
    </row>
    <row r="76" spans="1:10" s="114" customFormat="1">
      <c r="A76" s="91" t="s">
        <v>9</v>
      </c>
      <c r="B76" s="91"/>
      <c r="C76" s="89">
        <f>'Intermediate calcs'!C129*VLOOKUP(IF(ISBLANK($A76),$B76,$A76),Radionuclide_specific,8,FALSE)*VLOOKUP($B$41,Other_regional_data,5,FALSE)*VLOOKUP($B$41,Interim_regional_data,5,FALSE)*VLOOKUP($B$41,Other_regional_data,8,FALSE)</f>
        <v>0</v>
      </c>
      <c r="D76" s="89">
        <f>'Intermediate calcs'!D129*VLOOKUP(IF(ISBLANK($A76),$B76,$A76),Radionuclide_specific,8,FALSE)*VLOOKUP($B$41,Other_regional_data,5,FALSE)*VLOOKUP($B$41,Interim_regional_data,6,FALSE)*VLOOKUP($B$41,Other_regional_data,9,FALSE)</f>
        <v>7.4737907781755888E-6</v>
      </c>
      <c r="E76" s="90">
        <f t="shared" si="31"/>
        <v>1.4117647058823528E-4</v>
      </c>
      <c r="F76" s="90">
        <f t="shared" si="31"/>
        <v>3.934426229508197E-6</v>
      </c>
      <c r="G76" s="89">
        <f t="shared" si="31"/>
        <v>1.7029440000000001E-4</v>
      </c>
      <c r="H76" s="89">
        <f t="shared" si="31"/>
        <v>1.7029440000000001E-4</v>
      </c>
      <c r="I76" s="90">
        <f t="shared" si="19"/>
        <v>3.1147087058823529E-4</v>
      </c>
      <c r="J76" s="90">
        <f t="shared" si="20"/>
        <v>1.817026170076838E-4</v>
      </c>
    </row>
    <row r="78" spans="1:10" s="115" customFormat="1" ht="25.5" customHeight="1">
      <c r="A78" s="44" t="s">
        <v>297</v>
      </c>
      <c r="B78" s="72" t="s">
        <v>57</v>
      </c>
      <c r="C78" s="134" t="s">
        <v>153</v>
      </c>
      <c r="D78" s="134"/>
      <c r="E78" s="134" t="s">
        <v>154</v>
      </c>
      <c r="F78" s="134"/>
      <c r="G78" s="134"/>
      <c r="H78" s="134"/>
      <c r="I78" s="134" t="s">
        <v>64</v>
      </c>
      <c r="J78" s="134"/>
    </row>
    <row r="79" spans="1:10" ht="11.25" customHeight="1">
      <c r="A79" s="129" t="s">
        <v>149</v>
      </c>
      <c r="B79" s="129" t="s">
        <v>150</v>
      </c>
      <c r="C79" s="131" t="s">
        <v>189</v>
      </c>
      <c r="D79" s="131"/>
      <c r="E79" s="132" t="s">
        <v>184</v>
      </c>
      <c r="F79" s="132"/>
      <c r="G79" s="131" t="s">
        <v>185</v>
      </c>
      <c r="H79" s="131"/>
      <c r="I79" s="132" t="s">
        <v>190</v>
      </c>
      <c r="J79" s="132"/>
    </row>
    <row r="80" spans="1:10">
      <c r="A80" s="129"/>
      <c r="B80" s="129"/>
      <c r="C80" s="84" t="s">
        <v>73</v>
      </c>
      <c r="D80" s="84" t="s">
        <v>74</v>
      </c>
      <c r="E80" s="85" t="s">
        <v>73</v>
      </c>
      <c r="F80" s="85" t="s">
        <v>74</v>
      </c>
      <c r="G80" s="84" t="s">
        <v>73</v>
      </c>
      <c r="H80" s="84" t="s">
        <v>74</v>
      </c>
      <c r="I80" s="83" t="s">
        <v>73</v>
      </c>
      <c r="J80" s="83" t="s">
        <v>74</v>
      </c>
    </row>
    <row r="81" spans="1:10">
      <c r="A81" s="4" t="s">
        <v>33</v>
      </c>
      <c r="B81" s="4"/>
      <c r="C81" s="46">
        <f>'Intermediate calcs'!C134*VLOOKUP(IF(ISBLANK($A81),$B81,$A81),Radionuclide_specific,8,FALSE)*VLOOKUP($B$78,Other_regional_data,5,FALSE)*VLOOKUP($B$78,Interim_regional_data,5,FALSE)*VLOOKUP($B$78,Other_regional_data,8,FALSE)</f>
        <v>0</v>
      </c>
      <c r="D81" s="46">
        <f>'Intermediate calcs'!D134*VLOOKUP(IF(ISBLANK($A81),$B81,$A81),Radionuclide_specific,8,FALSE)*VLOOKUP($B$78,Other_regional_data,5,FALSE)*VLOOKUP($B$78,Interim_regional_data,6,FALSE)*VLOOKUP($B$78,Other_regional_data,9,FALSE)</f>
        <v>1.1568698404376772E-10</v>
      </c>
      <c r="E81" s="47">
        <f t="shared" ref="E81:H100" si="36">E44</f>
        <v>1.404E-10</v>
      </c>
      <c r="F81" s="47">
        <f t="shared" si="36"/>
        <v>7.0199999999999988E-11</v>
      </c>
      <c r="G81" s="46">
        <f t="shared" si="36"/>
        <v>5.6764799999999995E-8</v>
      </c>
      <c r="H81" s="46">
        <f t="shared" si="36"/>
        <v>5.6764799999999995E-8</v>
      </c>
      <c r="I81" s="47">
        <f>C81+E81+G81</f>
        <v>5.6905199999999997E-8</v>
      </c>
      <c r="J81" s="47">
        <f>D81+F81+H81</f>
        <v>5.695068698404376E-8</v>
      </c>
    </row>
    <row r="82" spans="1:10" s="114" customFormat="1">
      <c r="A82" s="88"/>
      <c r="B82" s="88" t="s">
        <v>43</v>
      </c>
      <c r="C82" s="89">
        <f>'Intermediate calcs'!C135*VLOOKUP(IF(ISBLANK($A82),$B82,$A82),Radionuclide_specific,8,FALSE)*VLOOKUP($B$78,Other_regional_data,5,FALSE)*VLOOKUP($B$78,Interim_regional_data,5,FALSE)*VLOOKUP($B$78,Other_regional_data,8,FALSE)</f>
        <v>0</v>
      </c>
      <c r="D82" s="89">
        <f>'Intermediate calcs'!D135*VLOOKUP(IF(ISBLANK($A82),$B82,$A82),Radionuclide_specific,8,FALSE)*VLOOKUP($B$78,Other_regional_data,5,FALSE)*VLOOKUP($B$78,Interim_regional_data,6,FALSE)*VLOOKUP($B$78,Other_regional_data,9,FALSE)</f>
        <v>5.9861073023607198E-10</v>
      </c>
      <c r="E82" s="90">
        <f t="shared" si="36"/>
        <v>3.9639599999999992E-14</v>
      </c>
      <c r="F82" s="90">
        <f t="shared" si="36"/>
        <v>1.9819799999999996E-14</v>
      </c>
      <c r="G82" s="89">
        <f t="shared" si="36"/>
        <v>1.3245119999999998E-7</v>
      </c>
      <c r="H82" s="89">
        <f t="shared" si="36"/>
        <v>1.3245119999999998E-7</v>
      </c>
      <c r="I82" s="90">
        <f t="shared" ref="I82:I113" si="37">C82+E82+G82</f>
        <v>1.3245123963959997E-7</v>
      </c>
      <c r="J82" s="90">
        <f t="shared" ref="J82:J113" si="38">D82+F82+H82</f>
        <v>1.3304983055003605E-7</v>
      </c>
    </row>
    <row r="83" spans="1:10">
      <c r="A83" s="4" t="s">
        <v>10</v>
      </c>
      <c r="B83" s="4"/>
      <c r="C83" s="46">
        <f>'Intermediate calcs'!C136*VLOOKUP(IF(ISBLANK($A83),$B83,$A83),Radionuclide_specific,8,FALSE)*VLOOKUP($B$78,Other_regional_data,5,FALSE)*VLOOKUP($B$78,Interim_regional_data,5,FALSE)*VLOOKUP($B$78,Other_regional_data,8,FALSE)</f>
        <v>0</v>
      </c>
      <c r="D83" s="46">
        <f>'Intermediate calcs'!D136*VLOOKUP(IF(ISBLANK($A83),$B83,$A83),Radionuclide_specific,8,FALSE)*VLOOKUP($B$78,Other_regional_data,5,FALSE)*VLOOKUP($B$78,Interim_regional_data,6,FALSE)*VLOOKUP($B$78,Other_regional_data,9,FALSE)</f>
        <v>7.9497592305525334E-6</v>
      </c>
      <c r="E83" s="47">
        <f t="shared" si="36"/>
        <v>2.3197680231976806E-3</v>
      </c>
      <c r="F83" s="47">
        <f t="shared" si="36"/>
        <v>1.1571072319201997E-3</v>
      </c>
      <c r="G83" s="46">
        <f t="shared" si="36"/>
        <v>1.8290879999999999E-6</v>
      </c>
      <c r="H83" s="46">
        <f t="shared" si="36"/>
        <v>1.8290879999999999E-6</v>
      </c>
      <c r="I83" s="47">
        <f t="shared" si="37"/>
        <v>2.3215971111976807E-3</v>
      </c>
      <c r="J83" s="47">
        <f t="shared" si="38"/>
        <v>1.1668860791507522E-3</v>
      </c>
    </row>
    <row r="84" spans="1:10">
      <c r="A84" s="4" t="s">
        <v>240</v>
      </c>
      <c r="B84" s="4"/>
      <c r="C84" s="46">
        <f>'Intermediate calcs'!C137*VLOOKUP(IF(ISBLANK($A84),$B84,$A84),Radionuclide_specific,8,FALSE)*VLOOKUP($B$78,Other_regional_data,5,FALSE)*VLOOKUP($B$78,Interim_regional_data,5,FALSE)*VLOOKUP($B$78,Other_regional_data,8,FALSE)</f>
        <v>0</v>
      </c>
      <c r="D84" s="46">
        <f>'Intermediate calcs'!D137*VLOOKUP(IF(ISBLANK($A84),$B84,$A84),Radionuclide_specific,8,FALSE)*VLOOKUP($B$78,Other_regional_data,5,FALSE)*VLOOKUP($B$78,Interim_regional_data,6,FALSE)*VLOOKUP($B$78,Other_regional_data,9,FALSE)</f>
        <v>5.1404349303052292E-7</v>
      </c>
      <c r="E84" s="47">
        <f t="shared" si="36"/>
        <v>6.1354581673306769E-6</v>
      </c>
      <c r="F84" s="47">
        <f t="shared" si="36"/>
        <v>2.8000000000000003E-6</v>
      </c>
      <c r="G84" s="46">
        <f t="shared" si="36"/>
        <v>1.3112668800000002E-6</v>
      </c>
      <c r="H84" s="46">
        <f t="shared" si="36"/>
        <v>1.3112668800000002E-6</v>
      </c>
      <c r="I84" s="47">
        <f t="shared" si="37"/>
        <v>7.4467250473306775E-6</v>
      </c>
      <c r="J84" s="47">
        <f t="shared" si="38"/>
        <v>4.6253103730305235E-6</v>
      </c>
    </row>
    <row r="85" spans="1:10">
      <c r="A85" s="4" t="s">
        <v>237</v>
      </c>
      <c r="B85" s="4"/>
      <c r="C85" s="46">
        <f>'Intermediate calcs'!C138*VLOOKUP(IF(ISBLANK($A85),$B85,$A85),Radionuclide_specific,8,FALSE)*VLOOKUP($B$78,Other_regional_data,5,FALSE)*VLOOKUP($B$78,Interim_regional_data,5,FALSE)*VLOOKUP($B$78,Other_regional_data,8,FALSE)</f>
        <v>0</v>
      </c>
      <c r="D85" s="46">
        <f>'Intermediate calcs'!D138*VLOOKUP(IF(ISBLANK($A85),$B85,$A85),Radionuclide_specific,8,FALSE)*VLOOKUP($B$78,Other_regional_data,5,FALSE)*VLOOKUP($B$78,Interim_regional_data,6,FALSE)*VLOOKUP($B$78,Other_regional_data,9,FALSE)</f>
        <v>1.0953828160737463E-7</v>
      </c>
      <c r="E85" s="47">
        <f t="shared" si="36"/>
        <v>6.6046511627906978E-7</v>
      </c>
      <c r="F85" s="47">
        <f t="shared" si="36"/>
        <v>2.1037037037037039E-8</v>
      </c>
      <c r="G85" s="46">
        <f t="shared" si="36"/>
        <v>8.060601599999999E-7</v>
      </c>
      <c r="H85" s="46">
        <f t="shared" si="36"/>
        <v>8.060601599999999E-7</v>
      </c>
      <c r="I85" s="47">
        <f t="shared" ref="I85" si="39">C85+E85+G85</f>
        <v>1.4665252762790697E-6</v>
      </c>
      <c r="J85" s="47">
        <f t="shared" ref="J85" si="40">D85+F85+H85</f>
        <v>9.3663547864441156E-7</v>
      </c>
    </row>
    <row r="86" spans="1:10">
      <c r="A86" s="4" t="s">
        <v>236</v>
      </c>
      <c r="B86" s="4"/>
      <c r="C86" s="46">
        <f>'Intermediate calcs'!C139*VLOOKUP(IF(ISBLANK($A86),$B86,$A86),Radionuclide_specific,8,FALSE)*VLOOKUP($B$78,Other_regional_data,5,FALSE)*VLOOKUP($B$78,Interim_regional_data,5,FALSE)*VLOOKUP($B$78,Other_regional_data,8,FALSE)</f>
        <v>0</v>
      </c>
      <c r="D86" s="46">
        <f>'Intermediate calcs'!D139*VLOOKUP(IF(ISBLANK($A86),$B86,$A86),Radionuclide_specific,8,FALSE)*VLOOKUP($B$78,Other_regional_data,5,FALSE)*VLOOKUP($B$78,Interim_regional_data,6,FALSE)*VLOOKUP($B$78,Other_regional_data,9,FALSE)</f>
        <v>7.046016584946773E-8</v>
      </c>
      <c r="E86" s="47">
        <f t="shared" si="36"/>
        <v>2.9914893617021279E-7</v>
      </c>
      <c r="F86" s="47">
        <f t="shared" si="36"/>
        <v>1.222608695652174E-8</v>
      </c>
      <c r="G86" s="46">
        <f t="shared" si="36"/>
        <v>1.2601785600000002E-6</v>
      </c>
      <c r="H86" s="46">
        <f t="shared" si="36"/>
        <v>1.2601785600000002E-6</v>
      </c>
      <c r="I86" s="47">
        <f t="shared" ref="I86" si="41">C86+E86+G86</f>
        <v>1.559327496170213E-6</v>
      </c>
      <c r="J86" s="47">
        <f t="shared" ref="J86" si="42">D86+F86+H86</f>
        <v>1.3428648128059897E-6</v>
      </c>
    </row>
    <row r="87" spans="1:10">
      <c r="A87" s="4" t="s">
        <v>11</v>
      </c>
      <c r="B87" s="4"/>
      <c r="C87" s="46">
        <f>'Intermediate calcs'!C140*VLOOKUP(IF(ISBLANK($A87),$B87,$A87),Radionuclide_specific,8,FALSE)*VLOOKUP($B$78,Other_regional_data,5,FALSE)*VLOOKUP($B$78,Interim_regional_data,5,FALSE)*VLOOKUP($B$78,Other_regional_data,8,FALSE)</f>
        <v>0</v>
      </c>
      <c r="D87" s="46">
        <f>'Intermediate calcs'!D140*VLOOKUP(IF(ISBLANK($A87),$B87,$A87),Radionuclide_specific,8,FALSE)*VLOOKUP($B$78,Other_regional_data,5,FALSE)*VLOOKUP($B$78,Interim_regional_data,6,FALSE)*VLOOKUP($B$78,Other_regional_data,9,FALSE)</f>
        <v>6.4503768980258499E-7</v>
      </c>
      <c r="E87" s="47">
        <f t="shared" si="36"/>
        <v>1.3744680851063828E-6</v>
      </c>
      <c r="F87" s="47">
        <f t="shared" si="36"/>
        <v>5.6173913043478253E-8</v>
      </c>
      <c r="G87" s="46">
        <f t="shared" si="36"/>
        <v>5.7900096000000006E-6</v>
      </c>
      <c r="H87" s="46">
        <f t="shared" si="36"/>
        <v>5.7900096000000006E-6</v>
      </c>
      <c r="I87" s="47">
        <f t="shared" si="37"/>
        <v>7.1644776851063831E-6</v>
      </c>
      <c r="J87" s="47">
        <f t="shared" si="38"/>
        <v>6.4912212028460633E-6</v>
      </c>
    </row>
    <row r="88" spans="1:10">
      <c r="A88" s="4" t="s">
        <v>178</v>
      </c>
      <c r="B88" s="4"/>
      <c r="C88" s="46">
        <f>'Intermediate calcs'!C141*VLOOKUP(IF(ISBLANK($A88),$B88,$A88),Radionuclide_specific,8,FALSE)*VLOOKUP($B$78,Other_regional_data,5,FALSE)*VLOOKUP($B$78,Interim_regional_data,5,FALSE)*VLOOKUP($B$78,Other_regional_data,8,FALSE)</f>
        <v>0</v>
      </c>
      <c r="D88" s="46">
        <f>'Intermediate calcs'!D141*VLOOKUP(IF(ISBLANK($A88),$B88,$A88),Radionuclide_specific,8,FALSE)*VLOOKUP($B$78,Other_regional_data,5,FALSE)*VLOOKUP($B$78,Interim_regional_data,6,FALSE)*VLOOKUP($B$78,Other_regional_data,9,FALSE)</f>
        <v>1.2634076171799247E-6</v>
      </c>
      <c r="E88" s="47">
        <f t="shared" si="36"/>
        <v>1.3128712871287129E-4</v>
      </c>
      <c r="F88" s="47">
        <f t="shared" si="36"/>
        <v>5.3040000000000007E-5</v>
      </c>
      <c r="G88" s="46">
        <f t="shared" si="36"/>
        <v>6.6414816E-6</v>
      </c>
      <c r="H88" s="46">
        <f t="shared" si="36"/>
        <v>6.6414816E-6</v>
      </c>
      <c r="I88" s="47">
        <f t="shared" ref="I88" si="43">C88+E88+G88</f>
        <v>1.3792861031287128E-4</v>
      </c>
      <c r="J88" s="47">
        <f t="shared" ref="J88" si="44">D88+F88+H88</f>
        <v>6.0944889217179928E-5</v>
      </c>
    </row>
    <row r="89" spans="1:10">
      <c r="A89" s="4" t="s">
        <v>17</v>
      </c>
      <c r="B89" s="4"/>
      <c r="C89" s="46">
        <f>'Intermediate calcs'!C142*VLOOKUP(IF(ISBLANK($A89),$B89,$A89),Radionuclide_specific,8,FALSE)*VLOOKUP($B$78,Other_regional_data,5,FALSE)*VLOOKUP($B$78,Interim_regional_data,5,FALSE)*VLOOKUP($B$78,Other_regional_data,8,FALSE)</f>
        <v>0</v>
      </c>
      <c r="D89" s="46">
        <f>'Intermediate calcs'!D142*VLOOKUP(IF(ISBLANK($A89),$B89,$A89),Radionuclide_specific,8,FALSE)*VLOOKUP($B$78,Other_regional_data,5,FALSE)*VLOOKUP($B$78,Interim_regional_data,6,FALSE)*VLOOKUP($B$78,Other_regional_data,9,FALSE)</f>
        <v>3.5530766420535293E-5</v>
      </c>
      <c r="E89" s="47">
        <f t="shared" si="36"/>
        <v>7.929687499999999E-7</v>
      </c>
      <c r="F89" s="47">
        <f t="shared" si="36"/>
        <v>2.5374999999999995E-7</v>
      </c>
      <c r="G89" s="46">
        <f t="shared" si="36"/>
        <v>7.1523647999999999E-5</v>
      </c>
      <c r="H89" s="46">
        <f t="shared" si="36"/>
        <v>7.1523647999999999E-5</v>
      </c>
      <c r="I89" s="47">
        <f t="shared" si="37"/>
        <v>7.2316616749999992E-5</v>
      </c>
      <c r="J89" s="47">
        <f t="shared" si="38"/>
        <v>1.0730816442053529E-4</v>
      </c>
    </row>
    <row r="90" spans="1:10">
      <c r="A90" s="4"/>
      <c r="B90" s="4" t="s">
        <v>105</v>
      </c>
      <c r="C90" s="46">
        <f>'Intermediate calcs'!C143*VLOOKUP(IF(ISBLANK($A90),$B90,$A90),Radionuclide_specific,8,FALSE)*VLOOKUP($B$78,Other_regional_data,5,FALSE)*VLOOKUP($B$78,Interim_regional_data,5,FALSE)*VLOOKUP($B$78,Other_regional_data,8,FALSE)</f>
        <v>0</v>
      </c>
      <c r="D90" s="46">
        <f>'Intermediate calcs'!D143*VLOOKUP(IF(ISBLANK($A90),$B90,$A90),Radionuclide_specific,8,FALSE)*VLOOKUP($B$78,Other_regional_data,5,FALSE)*VLOOKUP($B$78,Interim_regional_data,6,FALSE)*VLOOKUP($B$78,Other_regional_data,9,FALSE)</f>
        <v>0</v>
      </c>
      <c r="E90" s="47">
        <f t="shared" si="36"/>
        <v>0</v>
      </c>
      <c r="F90" s="47">
        <f t="shared" si="36"/>
        <v>0</v>
      </c>
      <c r="G90" s="46">
        <f t="shared" si="36"/>
        <v>0</v>
      </c>
      <c r="H90" s="46">
        <f t="shared" si="36"/>
        <v>0</v>
      </c>
      <c r="I90" s="47">
        <f t="shared" si="37"/>
        <v>0</v>
      </c>
      <c r="J90" s="47">
        <f t="shared" si="38"/>
        <v>0</v>
      </c>
    </row>
    <row r="91" spans="1:10">
      <c r="A91" s="4" t="s">
        <v>66</v>
      </c>
      <c r="B91" s="4"/>
      <c r="C91" s="46">
        <f>'Intermediate calcs'!C144*VLOOKUP(IF(ISBLANK($A91),$B91,$A91),Radionuclide_specific,8,FALSE)*VLOOKUP($B$78,Other_regional_data,5,FALSE)*VLOOKUP($B$78,Interim_regional_data,5,FALSE)*VLOOKUP($B$78,Other_regional_data,8,FALSE)</f>
        <v>0</v>
      </c>
      <c r="D91" s="46">
        <f>'Intermediate calcs'!D144*VLOOKUP(IF(ISBLANK($A91),$B91,$A91),Radionuclide_specific,8,FALSE)*VLOOKUP($B$78,Other_regional_data,5,FALSE)*VLOOKUP($B$78,Interim_regional_data,6,FALSE)*VLOOKUP($B$78,Other_regional_data,9,FALSE)</f>
        <v>1.2252852453908151E-7</v>
      </c>
      <c r="E91" s="47">
        <f t="shared" si="36"/>
        <v>2.3475609756097559E-6</v>
      </c>
      <c r="F91" s="47">
        <f t="shared" si="36"/>
        <v>1.1323529411764707E-7</v>
      </c>
      <c r="G91" s="46">
        <f t="shared" si="36"/>
        <v>1.1920607999999999E-5</v>
      </c>
      <c r="H91" s="46">
        <f t="shared" si="36"/>
        <v>1.1920607999999999E-5</v>
      </c>
      <c r="I91" s="47">
        <f t="shared" si="37"/>
        <v>1.4268168975609756E-5</v>
      </c>
      <c r="J91" s="47">
        <f t="shared" si="38"/>
        <v>1.2156371818656729E-5</v>
      </c>
    </row>
    <row r="92" spans="1:10">
      <c r="A92" s="4"/>
      <c r="B92" s="4" t="s">
        <v>106</v>
      </c>
      <c r="C92" s="46">
        <f>'Intermediate calcs'!C145*VLOOKUP(IF(ISBLANK($A92),$B92,$A92),Radionuclide_specific,8,FALSE)*VLOOKUP($B$78,Other_regional_data,5,FALSE)*VLOOKUP($B$78,Interim_regional_data,5,FALSE)*VLOOKUP($B$78,Other_regional_data,8,FALSE)</f>
        <v>0</v>
      </c>
      <c r="D92" s="46">
        <f>'Intermediate calcs'!D145*VLOOKUP(IF(ISBLANK($A92),$B92,$A92),Radionuclide_specific,8,FALSE)*VLOOKUP($B$78,Other_regional_data,5,FALSE)*VLOOKUP($B$78,Interim_regional_data,6,FALSE)*VLOOKUP($B$78,Other_regional_data,9,FALSE)</f>
        <v>0</v>
      </c>
      <c r="E92" s="47">
        <f t="shared" si="36"/>
        <v>0</v>
      </c>
      <c r="F92" s="47">
        <f t="shared" si="36"/>
        <v>0</v>
      </c>
      <c r="G92" s="46">
        <f t="shared" si="36"/>
        <v>0</v>
      </c>
      <c r="H92" s="46">
        <f t="shared" si="36"/>
        <v>0</v>
      </c>
      <c r="I92" s="47">
        <f t="shared" si="37"/>
        <v>0</v>
      </c>
      <c r="J92" s="47">
        <f t="shared" si="38"/>
        <v>0</v>
      </c>
    </row>
    <row r="93" spans="1:10">
      <c r="A93" s="4" t="s">
        <v>67</v>
      </c>
      <c r="B93" s="4"/>
      <c r="C93" s="46">
        <f>'Intermediate calcs'!C146*VLOOKUP(IF(ISBLANK($A93),$B93,$A93),Radionuclide_specific,8,FALSE)*VLOOKUP($B$78,Other_regional_data,5,FALSE)*VLOOKUP($B$78,Interim_regional_data,5,FALSE)*VLOOKUP($B$78,Other_regional_data,8,FALSE)</f>
        <v>0</v>
      </c>
      <c r="D93" s="46">
        <f>'Intermediate calcs'!D146*VLOOKUP(IF(ISBLANK($A93),$B93,$A93),Radionuclide_specific,8,FALSE)*VLOOKUP($B$78,Other_regional_data,5,FALSE)*VLOOKUP($B$78,Interim_regional_data,6,FALSE)*VLOOKUP($B$78,Other_regional_data,9,FALSE)</f>
        <v>1.1871628736017056E-4</v>
      </c>
      <c r="E93" s="47">
        <f t="shared" si="36"/>
        <v>3.0330882352941179E-5</v>
      </c>
      <c r="F93" s="47">
        <f t="shared" si="36"/>
        <v>5.1562499999999991E-6</v>
      </c>
      <c r="G93" s="46">
        <f t="shared" si="36"/>
        <v>2.8098576000000003E-4</v>
      </c>
      <c r="H93" s="46">
        <f t="shared" si="36"/>
        <v>2.8098576000000003E-4</v>
      </c>
      <c r="I93" s="47">
        <f t="shared" si="37"/>
        <v>3.113166423529412E-4</v>
      </c>
      <c r="J93" s="47">
        <f t="shared" si="38"/>
        <v>4.0485829736017058E-4</v>
      </c>
    </row>
    <row r="94" spans="1:10">
      <c r="A94" s="4" t="s">
        <v>239</v>
      </c>
      <c r="B94" s="4"/>
      <c r="C94" s="46">
        <f>'Intermediate calcs'!C147*VLOOKUP(IF(ISBLANK($A94),$B94,$A94),Radionuclide_specific,8,FALSE)*VLOOKUP($B$78,Other_regional_data,5,FALSE)*VLOOKUP($B$78,Interim_regional_data,5,FALSE)*VLOOKUP($B$78,Other_regional_data,8,FALSE)</f>
        <v>0</v>
      </c>
      <c r="D94" s="46">
        <f>'Intermediate calcs'!D147*VLOOKUP(IF(ISBLANK($A94),$B94,$A94),Radionuclide_specific,8,FALSE)*VLOOKUP($B$78,Other_regional_data,5,FALSE)*VLOOKUP($B$78,Interim_regional_data,6,FALSE)*VLOOKUP($B$78,Other_regional_data,9,FALSE)</f>
        <v>1.5105766098595502E-7</v>
      </c>
      <c r="E94" s="47">
        <f t="shared" si="36"/>
        <v>5.5147058823529418E-7</v>
      </c>
      <c r="F94" s="47">
        <f t="shared" si="36"/>
        <v>9.3750000000000002E-8</v>
      </c>
      <c r="G94" s="46">
        <f t="shared" si="36"/>
        <v>5.108832000000001E-6</v>
      </c>
      <c r="H94" s="46">
        <f t="shared" si="36"/>
        <v>5.108832000000001E-6</v>
      </c>
      <c r="I94" s="47">
        <f t="shared" ref="I94" si="45">C94+E94+G94</f>
        <v>5.6603025882352951E-6</v>
      </c>
      <c r="J94" s="47">
        <f t="shared" ref="J94" si="46">D94+F94+H94</f>
        <v>5.3536396609859558E-6</v>
      </c>
    </row>
    <row r="95" spans="1:10">
      <c r="A95" s="4" t="s">
        <v>177</v>
      </c>
      <c r="B95" s="4"/>
      <c r="C95" s="46">
        <f>'Intermediate calcs'!C148*VLOOKUP(IF(ISBLANK($A95),$B95,$A95),Radionuclide_specific,8,FALSE)*VLOOKUP($B$78,Other_regional_data,5,FALSE)*VLOOKUP($B$78,Interim_regional_data,5,FALSE)*VLOOKUP($B$78,Other_regional_data,8,FALSE)</f>
        <v>0</v>
      </c>
      <c r="D95" s="46">
        <f>'Intermediate calcs'!D148*VLOOKUP(IF(ISBLANK($A95),$B95,$A95),Radionuclide_specific,8,FALSE)*VLOOKUP($B$78,Other_regional_data,5,FALSE)*VLOOKUP($B$78,Interim_regional_data,6,FALSE)*VLOOKUP($B$78,Other_regional_data,9,FALSE)</f>
        <v>1.6696882930544721E-5</v>
      </c>
      <c r="E95" s="47">
        <f t="shared" si="36"/>
        <v>3.0063291139240513E-4</v>
      </c>
      <c r="F95" s="47">
        <f t="shared" si="36"/>
        <v>1.5322580645161292E-5</v>
      </c>
      <c r="G95" s="46">
        <f t="shared" si="36"/>
        <v>4.8533904000000011E-5</v>
      </c>
      <c r="H95" s="46">
        <f t="shared" si="36"/>
        <v>4.8533904000000011E-5</v>
      </c>
      <c r="I95" s="47">
        <f t="shared" ref="I95" si="47">C95+E95+G95</f>
        <v>3.4916681539240511E-4</v>
      </c>
      <c r="J95" s="47">
        <f t="shared" ref="J95" si="48">D95+F95+H95</f>
        <v>8.0553367575706024E-5</v>
      </c>
    </row>
    <row r="96" spans="1:10">
      <c r="A96" s="4" t="s">
        <v>12</v>
      </c>
      <c r="B96" s="4"/>
      <c r="C96" s="46">
        <f>'Intermediate calcs'!C149*VLOOKUP(IF(ISBLANK($A96),$B96,$A96),Radionuclide_specific,8,FALSE)*VLOOKUP($B$78,Other_regional_data,5,FALSE)*VLOOKUP($B$78,Interim_regional_data,5,FALSE)*VLOOKUP($B$78,Other_regional_data,8,FALSE)</f>
        <v>0</v>
      </c>
      <c r="D96" s="46">
        <f>'Intermediate calcs'!D149*VLOOKUP(IF(ISBLANK($A96),$B96,$A96),Radionuclide_specific,8,FALSE)*VLOOKUP($B$78,Other_regional_data,5,FALSE)*VLOOKUP($B$78,Interim_regional_data,6,FALSE)*VLOOKUP($B$78,Other_regional_data,9,FALSE)</f>
        <v>1.3704366234235275E-5</v>
      </c>
      <c r="E96" s="47">
        <f t="shared" si="36"/>
        <v>2.0569620253164559E-4</v>
      </c>
      <c r="F96" s="47">
        <f t="shared" si="36"/>
        <v>1.0483870967741936E-5</v>
      </c>
      <c r="G96" s="46">
        <f t="shared" si="36"/>
        <v>3.3207408000000005E-5</v>
      </c>
      <c r="H96" s="46">
        <f t="shared" si="36"/>
        <v>3.3207408000000005E-5</v>
      </c>
      <c r="I96" s="47">
        <f t="shared" si="37"/>
        <v>2.3890361053164558E-4</v>
      </c>
      <c r="J96" s="47">
        <f t="shared" si="38"/>
        <v>5.7395645201977215E-5</v>
      </c>
    </row>
    <row r="97" spans="1:10">
      <c r="A97" s="4"/>
      <c r="B97" s="4" t="s">
        <v>107</v>
      </c>
      <c r="C97" s="46">
        <f>'Intermediate calcs'!C150*VLOOKUP(IF(ISBLANK($A97),$B97,$A97),Radionuclide_specific,8,FALSE)*VLOOKUP($B$78,Other_regional_data,5,FALSE)*VLOOKUP($B$78,Interim_regional_data,5,FALSE)*VLOOKUP($B$78,Other_regional_data,8,FALSE)</f>
        <v>0</v>
      </c>
      <c r="D97" s="46">
        <f>'Intermediate calcs'!D150*VLOOKUP(IF(ISBLANK($A97),$B97,$A97),Radionuclide_specific,8,FALSE)*VLOOKUP($B$78,Other_regional_data,5,FALSE)*VLOOKUP($B$78,Interim_regional_data,6,FALSE)*VLOOKUP($B$78,Other_regional_data,9,FALSE)</f>
        <v>0</v>
      </c>
      <c r="E97" s="47">
        <f t="shared" si="36"/>
        <v>0</v>
      </c>
      <c r="F97" s="47">
        <f t="shared" si="36"/>
        <v>0</v>
      </c>
      <c r="G97" s="46">
        <f t="shared" si="36"/>
        <v>0</v>
      </c>
      <c r="H97" s="46">
        <f t="shared" si="36"/>
        <v>0</v>
      </c>
      <c r="I97" s="47">
        <f t="shared" si="37"/>
        <v>0</v>
      </c>
      <c r="J97" s="47">
        <f t="shared" si="38"/>
        <v>0</v>
      </c>
    </row>
    <row r="98" spans="1:10">
      <c r="A98" s="4" t="s">
        <v>22</v>
      </c>
      <c r="B98" s="4"/>
      <c r="C98" s="46">
        <f>'Intermediate calcs'!C151*VLOOKUP(IF(ISBLANK($A98),$B98,$A98),Radionuclide_specific,8,FALSE)*VLOOKUP($B$78,Other_regional_data,5,FALSE)*VLOOKUP($B$78,Interim_regional_data,5,FALSE)*VLOOKUP($B$78,Other_regional_data,8,FALSE)</f>
        <v>0</v>
      </c>
      <c r="D98" s="46">
        <f>'Intermediate calcs'!D151*VLOOKUP(IF(ISBLANK($A98),$B98,$A98),Radionuclide_specific,8,FALSE)*VLOOKUP($B$78,Other_regional_data,5,FALSE)*VLOOKUP($B$78,Interim_regional_data,6,FALSE)*VLOOKUP($B$78,Other_regional_data,9,FALSE)</f>
        <v>5.075644796090873E-5</v>
      </c>
      <c r="E98" s="47">
        <f t="shared" si="36"/>
        <v>1.4374999999999997E-4</v>
      </c>
      <c r="F98" s="47">
        <f t="shared" si="36"/>
        <v>1.4374999999999999E-5</v>
      </c>
      <c r="G98" s="46">
        <f t="shared" si="36"/>
        <v>1.1750313599999999E-3</v>
      </c>
      <c r="H98" s="46">
        <f t="shared" si="36"/>
        <v>1.1750313599999999E-3</v>
      </c>
      <c r="I98" s="47">
        <f t="shared" si="37"/>
        <v>1.3187813599999999E-3</v>
      </c>
      <c r="J98" s="47">
        <f t="shared" si="38"/>
        <v>1.2401628079609086E-3</v>
      </c>
    </row>
    <row r="99" spans="1:10">
      <c r="A99" s="4" t="s">
        <v>19</v>
      </c>
      <c r="B99" s="4"/>
      <c r="C99" s="46">
        <f>'Intermediate calcs'!C152*VLOOKUP(IF(ISBLANK($A99),$B99,$A99),Radionuclide_specific,8,FALSE)*VLOOKUP($B$78,Other_regional_data,5,FALSE)*VLOOKUP($B$78,Interim_regional_data,5,FALSE)*VLOOKUP($B$78,Other_regional_data,8,FALSE)</f>
        <v>0</v>
      </c>
      <c r="D99" s="46">
        <f>'Intermediate calcs'!D152*VLOOKUP(IF(ISBLANK($A99),$B99,$A99),Radionuclide_specific,8,FALSE)*VLOOKUP($B$78,Other_regional_data,5,FALSE)*VLOOKUP($B$78,Interim_regional_data,6,FALSE)*VLOOKUP($B$78,Other_regional_data,9,FALSE)</f>
        <v>1.0609831923278926E-5</v>
      </c>
      <c r="E99" s="47">
        <f t="shared" si="36"/>
        <v>2.3999999999999998E-4</v>
      </c>
      <c r="F99" s="47">
        <f t="shared" si="36"/>
        <v>1.0285714285714285E-5</v>
      </c>
      <c r="G99" s="46">
        <f t="shared" si="36"/>
        <v>2.0435328000000001E-3</v>
      </c>
      <c r="H99" s="46">
        <f t="shared" si="36"/>
        <v>2.0435328000000001E-3</v>
      </c>
      <c r="I99" s="47">
        <f t="shared" si="37"/>
        <v>2.2835327999999998E-3</v>
      </c>
      <c r="J99" s="47">
        <f t="shared" si="38"/>
        <v>2.0644283462089934E-3</v>
      </c>
    </row>
    <row r="100" spans="1:10">
      <c r="A100" s="4" t="s">
        <v>14</v>
      </c>
      <c r="B100" s="4"/>
      <c r="C100" s="46">
        <f>'Intermediate calcs'!C153*VLOOKUP(IF(ISBLANK($A100),$B100,$A100),Radionuclide_specific,8,FALSE)*VLOOKUP($B$78,Other_regional_data,5,FALSE)*VLOOKUP($B$78,Interim_regional_data,5,FALSE)*VLOOKUP($B$78,Other_regional_data,8,FALSE)</f>
        <v>0</v>
      </c>
      <c r="D100" s="46">
        <f>'Intermediate calcs'!D153*VLOOKUP(IF(ISBLANK($A100),$B100,$A100),Radionuclide_specific,8,FALSE)*VLOOKUP($B$78,Other_regional_data,5,FALSE)*VLOOKUP($B$78,Interim_regional_data,6,FALSE)*VLOOKUP($B$78,Other_regional_data,9,FALSE)</f>
        <v>1.3179959899295885E-4</v>
      </c>
      <c r="E100" s="47">
        <f t="shared" si="36"/>
        <v>9.7560975609756076E-6</v>
      </c>
      <c r="F100" s="47">
        <f t="shared" si="36"/>
        <v>1.1914893617021278E-6</v>
      </c>
      <c r="G100" s="46">
        <f t="shared" si="36"/>
        <v>4.7682432000000006E-4</v>
      </c>
      <c r="H100" s="46">
        <f t="shared" si="36"/>
        <v>4.7682432000000006E-4</v>
      </c>
      <c r="I100" s="47">
        <f t="shared" si="37"/>
        <v>4.8658041756097567E-4</v>
      </c>
      <c r="J100" s="47">
        <f t="shared" si="38"/>
        <v>6.0981540835466105E-4</v>
      </c>
    </row>
    <row r="101" spans="1:10">
      <c r="A101" s="4" t="s">
        <v>156</v>
      </c>
      <c r="B101" s="4"/>
      <c r="C101" s="46">
        <f>'Intermediate calcs'!C154*VLOOKUP(IF(ISBLANK($A101),$B101,$A101),Radionuclide_specific,8,FALSE)*VLOOKUP($B$78,Other_regional_data,5,FALSE)*VLOOKUP($B$78,Interim_regional_data,5,FALSE)*VLOOKUP($B$78,Other_regional_data,8,FALSE)</f>
        <v>0</v>
      </c>
      <c r="D101" s="46">
        <f>'Intermediate calcs'!D154*VLOOKUP(IF(ISBLANK($A101),$B101,$A101),Radionuclide_specific,8,FALSE)*VLOOKUP($B$78,Other_regional_data,5,FALSE)*VLOOKUP($B$78,Interim_regional_data,6,FALSE)*VLOOKUP($B$78,Other_regional_data,9,FALSE)</f>
        <v>2.9805251521316457E-6</v>
      </c>
      <c r="E101" s="47">
        <f t="shared" ref="E101:H113" si="49">E64</f>
        <v>2.6249999999999999E-6</v>
      </c>
      <c r="F101" s="47">
        <f t="shared" si="49"/>
        <v>6.5624999999999994E-8</v>
      </c>
      <c r="G101" s="46">
        <f t="shared" si="49"/>
        <v>1.9867679999999998E-4</v>
      </c>
      <c r="H101" s="46">
        <f t="shared" si="49"/>
        <v>1.9867679999999998E-4</v>
      </c>
      <c r="I101" s="47">
        <f t="shared" ref="I101" si="50">C101+E101+G101</f>
        <v>2.0130179999999998E-4</v>
      </c>
      <c r="J101" s="47">
        <f t="shared" ref="J101" si="51">D101+F101+H101</f>
        <v>2.0172295015213163E-4</v>
      </c>
    </row>
    <row r="102" spans="1:10">
      <c r="A102" s="4" t="s">
        <v>20</v>
      </c>
      <c r="B102" s="4"/>
      <c r="C102" s="46">
        <f>'Intermediate calcs'!C155*VLOOKUP(IF(ISBLANK($A102),$B102,$A102),Radionuclide_specific,8,FALSE)*VLOOKUP($B$78,Other_regional_data,5,FALSE)*VLOOKUP($B$78,Interim_regional_data,5,FALSE)*VLOOKUP($B$78,Other_regional_data,8,FALSE)</f>
        <v>0</v>
      </c>
      <c r="D102" s="46">
        <f>'Intermediate calcs'!D155*VLOOKUP(IF(ISBLANK($A102),$B102,$A102),Radionuclide_specific,8,FALSE)*VLOOKUP($B$78,Other_regional_data,5,FALSE)*VLOOKUP($B$78,Interim_regional_data,6,FALSE)*VLOOKUP($B$78,Other_regional_data,9,FALSE)</f>
        <v>3.2643846904298978E-6</v>
      </c>
      <c r="E102" s="47">
        <f t="shared" si="49"/>
        <v>2.875E-6</v>
      </c>
      <c r="F102" s="47">
        <f t="shared" si="49"/>
        <v>7.1875E-8</v>
      </c>
      <c r="G102" s="46">
        <f t="shared" si="49"/>
        <v>2.1759839999999997E-4</v>
      </c>
      <c r="H102" s="46">
        <f t="shared" si="49"/>
        <v>2.1759839999999997E-4</v>
      </c>
      <c r="I102" s="47">
        <f t="shared" si="37"/>
        <v>2.2047339999999998E-4</v>
      </c>
      <c r="J102" s="47">
        <f t="shared" si="38"/>
        <v>2.2093465969042988E-4</v>
      </c>
    </row>
    <row r="103" spans="1:10">
      <c r="A103" s="4"/>
      <c r="B103" s="4" t="s">
        <v>29</v>
      </c>
      <c r="C103" s="46">
        <f>'Intermediate calcs'!C156*VLOOKUP(IF(ISBLANK($A103),$B103,$A103),Radionuclide_specific,8,FALSE)*VLOOKUP($B$78,Other_regional_data,5,FALSE)*VLOOKUP($B$78,Interim_regional_data,5,FALSE)*VLOOKUP($B$78,Other_regional_data,8,FALSE)</f>
        <v>0</v>
      </c>
      <c r="D103" s="46">
        <f>'Intermediate calcs'!D156*VLOOKUP(IF(ISBLANK($A103),$B103,$A103),Radionuclide_specific,8,FALSE)*VLOOKUP($B$78,Other_regional_data,5,FALSE)*VLOOKUP($B$78,Interim_regional_data,6,FALSE)*VLOOKUP($B$78,Other_regional_data,9,FALSE)</f>
        <v>1.0818162631084199E-4</v>
      </c>
      <c r="E103" s="47">
        <f t="shared" si="49"/>
        <v>5.7499999999999992E-6</v>
      </c>
      <c r="F103" s="47">
        <f t="shared" si="49"/>
        <v>1.4375E-7</v>
      </c>
      <c r="G103" s="46">
        <f t="shared" si="49"/>
        <v>1.1750313599999999E-3</v>
      </c>
      <c r="H103" s="46">
        <f t="shared" si="49"/>
        <v>1.1750313599999999E-3</v>
      </c>
      <c r="I103" s="47">
        <f t="shared" si="37"/>
        <v>1.1807813599999998E-3</v>
      </c>
      <c r="J103" s="47">
        <f t="shared" si="38"/>
        <v>1.2833567363108418E-3</v>
      </c>
    </row>
    <row r="104" spans="1:10">
      <c r="A104" s="4"/>
      <c r="B104" s="4" t="s">
        <v>108</v>
      </c>
      <c r="C104" s="46">
        <f>'Intermediate calcs'!C157*VLOOKUP(IF(ISBLANK($A104),$B104,$A104),Radionuclide_specific,8,FALSE)*VLOOKUP($B$78,Other_regional_data,5,FALSE)*VLOOKUP($B$78,Interim_regional_data,5,FALSE)*VLOOKUP($B$78,Other_regional_data,8,FALSE)</f>
        <v>0</v>
      </c>
      <c r="D104" s="46">
        <f>'Intermediate calcs'!D157*VLOOKUP(IF(ISBLANK($A104),$B104,$A104),Radionuclide_specific,8,FALSE)*VLOOKUP($B$78,Other_regional_data,5,FALSE)*VLOOKUP($B$78,Interim_regional_data,6,FALSE)*VLOOKUP($B$78,Other_regional_data,9,FALSE)</f>
        <v>0</v>
      </c>
      <c r="E104" s="47">
        <f t="shared" si="49"/>
        <v>1.3437499999999999E-8</v>
      </c>
      <c r="F104" s="47">
        <f t="shared" si="49"/>
        <v>3.3593750000000006E-10</v>
      </c>
      <c r="G104" s="46">
        <f t="shared" si="49"/>
        <v>7.3226592000000011E-7</v>
      </c>
      <c r="H104" s="46">
        <f t="shared" si="49"/>
        <v>7.3226592000000011E-7</v>
      </c>
      <c r="I104" s="47">
        <f t="shared" si="37"/>
        <v>7.4570342000000014E-7</v>
      </c>
      <c r="J104" s="47">
        <f t="shared" si="38"/>
        <v>7.326018575000001E-7</v>
      </c>
    </row>
    <row r="105" spans="1:10">
      <c r="A105" s="4"/>
      <c r="B105" s="4" t="s">
        <v>109</v>
      </c>
      <c r="C105" s="46">
        <f>'Intermediate calcs'!C158*VLOOKUP(IF(ISBLANK($A105),$B105,$A105),Radionuclide_specific,8,FALSE)*VLOOKUP($B$78,Other_regional_data,5,FALSE)*VLOOKUP($B$78,Interim_regional_data,5,FALSE)*VLOOKUP($B$78,Other_regional_data,8,FALSE)</f>
        <v>0</v>
      </c>
      <c r="D105" s="46">
        <f>'Intermediate calcs'!D158*VLOOKUP(IF(ISBLANK($A105),$B105,$A105),Radionuclide_specific,8,FALSE)*VLOOKUP($B$78,Other_regional_data,5,FALSE)*VLOOKUP($B$78,Interim_regional_data,6,FALSE)*VLOOKUP($B$78,Other_regional_data,9,FALSE)</f>
        <v>6.9071294464099224E-7</v>
      </c>
      <c r="E105" s="47">
        <f t="shared" si="49"/>
        <v>8.9999999999999996E-7</v>
      </c>
      <c r="F105" s="47">
        <f t="shared" si="49"/>
        <v>2.25E-8</v>
      </c>
      <c r="G105" s="46">
        <f t="shared" si="49"/>
        <v>6.8117759999999997E-5</v>
      </c>
      <c r="H105" s="46">
        <f t="shared" si="49"/>
        <v>6.8117759999999997E-5</v>
      </c>
      <c r="I105" s="47">
        <f t="shared" si="37"/>
        <v>6.9017759999999992E-5</v>
      </c>
      <c r="J105" s="47">
        <f t="shared" si="38"/>
        <v>6.8830972944640994E-5</v>
      </c>
    </row>
    <row r="106" spans="1:10">
      <c r="A106" s="4"/>
      <c r="B106" s="4" t="s">
        <v>110</v>
      </c>
      <c r="C106" s="46">
        <f>'Intermediate calcs'!C159*VLOOKUP(IF(ISBLANK($A106),$B106,$A106),Radionuclide_specific,8,FALSE)*VLOOKUP($B$78,Other_regional_data,5,FALSE)*VLOOKUP($B$78,Interim_regional_data,5,FALSE)*VLOOKUP($B$78,Other_regional_data,8,FALSE)</f>
        <v>0</v>
      </c>
      <c r="D106" s="46">
        <f>'Intermediate calcs'!D159*VLOOKUP(IF(ISBLANK($A106),$B106,$A106),Radionuclide_specific,8,FALSE)*VLOOKUP($B$78,Other_regional_data,5,FALSE)*VLOOKUP($B$78,Interim_regional_data,6,FALSE)*VLOOKUP($B$78,Other_regional_data,9,FALSE)</f>
        <v>1.7504074934154502E-9</v>
      </c>
      <c r="E106" s="47">
        <f t="shared" si="49"/>
        <v>3.1249999999999992E-7</v>
      </c>
      <c r="F106" s="47">
        <f t="shared" si="49"/>
        <v>7.8125000000000013E-9</v>
      </c>
      <c r="G106" s="46">
        <f t="shared" si="49"/>
        <v>1.0217664E-5</v>
      </c>
      <c r="H106" s="46">
        <f t="shared" si="49"/>
        <v>1.0217664E-5</v>
      </c>
      <c r="I106" s="47">
        <f t="shared" si="37"/>
        <v>1.0530163999999999E-5</v>
      </c>
      <c r="J106" s="47">
        <f t="shared" si="38"/>
        <v>1.0227226907493416E-5</v>
      </c>
    </row>
    <row r="107" spans="1:10">
      <c r="A107" s="4" t="s">
        <v>111</v>
      </c>
      <c r="B107" s="4"/>
      <c r="C107" s="46">
        <f>'Intermediate calcs'!C160*VLOOKUP(IF(ISBLANK($A107),$B107,$A107),Radionuclide_specific,8,FALSE)*VLOOKUP($B$78,Other_regional_data,5,FALSE)*VLOOKUP($B$78,Interim_regional_data,5,FALSE)*VLOOKUP($B$78,Other_regional_data,8,FALSE)</f>
        <v>0</v>
      </c>
      <c r="D107" s="46">
        <f>'Intermediate calcs'!D160*VLOOKUP(IF(ISBLANK($A107),$B107,$A107),Radionuclide_specific,8,FALSE)*VLOOKUP($B$78,Other_regional_data,5,FALSE)*VLOOKUP($B$78,Interim_regional_data,6,FALSE)*VLOOKUP($B$78,Other_regional_data,9,FALSE)</f>
        <v>4.8760840235798084E-6</v>
      </c>
      <c r="E107" s="47">
        <f t="shared" si="49"/>
        <v>4.6993006993006993E-7</v>
      </c>
      <c r="F107" s="47">
        <f t="shared" si="49"/>
        <v>2.294634146341464E-7</v>
      </c>
      <c r="G107" s="46">
        <f t="shared" si="49"/>
        <v>4.6357919999999993E-5</v>
      </c>
      <c r="H107" s="46">
        <f t="shared" si="49"/>
        <v>4.6357919999999993E-5</v>
      </c>
      <c r="I107" s="47">
        <f t="shared" ref="I107" si="52">C107+E107+G107</f>
        <v>4.682785006993006E-5</v>
      </c>
      <c r="J107" s="47">
        <f t="shared" ref="J107" si="53">D107+F107+H107</f>
        <v>5.1463467438213948E-5</v>
      </c>
    </row>
    <row r="108" spans="1:10">
      <c r="A108" s="4" t="s">
        <v>30</v>
      </c>
      <c r="B108" s="4"/>
      <c r="C108" s="46">
        <f>'Intermediate calcs'!C161*VLOOKUP(IF(ISBLANK($A108),$B108,$A108),Radionuclide_specific,8,FALSE)*VLOOKUP($B$78,Other_regional_data,5,FALSE)*VLOOKUP($B$78,Interim_regional_data,5,FALSE)*VLOOKUP($B$78,Other_regional_data,8,FALSE)</f>
        <v>0</v>
      </c>
      <c r="D108" s="46">
        <f>'Intermediate calcs'!D161*VLOOKUP(IF(ISBLANK($A108),$B108,$A108),Radionuclide_specific,8,FALSE)*VLOOKUP($B$78,Other_regional_data,5,FALSE)*VLOOKUP($B$78,Interim_regional_data,6,FALSE)*VLOOKUP($B$78,Other_regional_data,9,FALSE)</f>
        <v>4.4780363481855378E-6</v>
      </c>
      <c r="E108" s="47">
        <f t="shared" si="49"/>
        <v>4.315684315684316E-7</v>
      </c>
      <c r="F108" s="47">
        <f t="shared" si="49"/>
        <v>2.1073170731707321E-7</v>
      </c>
      <c r="G108" s="46">
        <f t="shared" si="49"/>
        <v>4.2573600000000002E-5</v>
      </c>
      <c r="H108" s="46">
        <f t="shared" si="49"/>
        <v>4.2573600000000002E-5</v>
      </c>
      <c r="I108" s="47">
        <f t="shared" si="37"/>
        <v>4.3005168431568435E-5</v>
      </c>
      <c r="J108" s="47">
        <f t="shared" si="38"/>
        <v>4.7262368055502616E-5</v>
      </c>
    </row>
    <row r="109" spans="1:10">
      <c r="A109" s="4"/>
      <c r="B109" s="4" t="s">
        <v>31</v>
      </c>
      <c r="C109" s="46">
        <f>'Intermediate calcs'!C162*VLOOKUP(IF(ISBLANK($A109),$B109,$A109),Radionuclide_specific,8,FALSE)*VLOOKUP($B$78,Other_regional_data,5,FALSE)*VLOOKUP($B$78,Interim_regional_data,5,FALSE)*VLOOKUP($B$78,Other_regional_data,8,FALSE)</f>
        <v>0</v>
      </c>
      <c r="D109" s="46">
        <f>'Intermediate calcs'!D162*VLOOKUP(IF(ISBLANK($A109),$B109,$A109),Radionuclide_specific,8,FALSE)*VLOOKUP($B$78,Other_regional_data,5,FALSE)*VLOOKUP($B$78,Interim_regional_data,6,FALSE)*VLOOKUP($B$78,Other_regional_data,9,FALSE)</f>
        <v>2.0507330326742561E-8</v>
      </c>
      <c r="E109" s="47">
        <f t="shared" si="49"/>
        <v>2.0379620379620385E-7</v>
      </c>
      <c r="F109" s="47">
        <f t="shared" si="49"/>
        <v>9.9512195121951228E-8</v>
      </c>
      <c r="G109" s="46">
        <f t="shared" si="49"/>
        <v>3.2166719999999997E-6</v>
      </c>
      <c r="H109" s="46">
        <f t="shared" si="49"/>
        <v>3.2166719999999997E-6</v>
      </c>
      <c r="I109" s="47">
        <f t="shared" si="37"/>
        <v>3.4204682037962034E-6</v>
      </c>
      <c r="J109" s="47">
        <f t="shared" si="38"/>
        <v>3.3366915254486935E-6</v>
      </c>
    </row>
    <row r="110" spans="1:10">
      <c r="A110" s="4"/>
      <c r="B110" s="4" t="s">
        <v>32</v>
      </c>
      <c r="C110" s="46">
        <f>'Intermediate calcs'!C163*VLOOKUP(IF(ISBLANK($A110),$B110,$A110),Radionuclide_specific,8,FALSE)*VLOOKUP($B$78,Other_regional_data,5,FALSE)*VLOOKUP($B$78,Interim_regional_data,5,FALSE)*VLOOKUP($B$78,Other_regional_data,8,FALSE)</f>
        <v>0</v>
      </c>
      <c r="D110" s="46">
        <f>'Intermediate calcs'!D163*VLOOKUP(IF(ISBLANK($A110),$B110,$A110),Radionuclide_specific,8,FALSE)*VLOOKUP($B$78,Other_regional_data,5,FALSE)*VLOOKUP($B$78,Interim_regional_data,6,FALSE)*VLOOKUP($B$78,Other_regional_data,9,FALSE)</f>
        <v>0</v>
      </c>
      <c r="E110" s="47">
        <f t="shared" si="49"/>
        <v>0</v>
      </c>
      <c r="F110" s="47">
        <f t="shared" si="49"/>
        <v>0</v>
      </c>
      <c r="G110" s="46">
        <f t="shared" si="49"/>
        <v>0</v>
      </c>
      <c r="H110" s="46">
        <f t="shared" si="49"/>
        <v>0</v>
      </c>
      <c r="I110" s="47">
        <f t="shared" si="37"/>
        <v>0</v>
      </c>
      <c r="J110" s="47">
        <f t="shared" si="38"/>
        <v>0</v>
      </c>
    </row>
    <row r="111" spans="1:10">
      <c r="A111" s="4" t="s">
        <v>13</v>
      </c>
      <c r="C111" s="46">
        <f>'Intermediate calcs'!C164*VLOOKUP(IF(ISBLANK($A111),$B111,$A111),Radionuclide_specific,8,FALSE)*VLOOKUP($B$78,Other_regional_data,5,FALSE)*VLOOKUP($B$78,Interim_regional_data,5,FALSE)*VLOOKUP($B$78,Other_regional_data,8,FALSE)</f>
        <v>0</v>
      </c>
      <c r="D111" s="46">
        <f>'Intermediate calcs'!D164*VLOOKUP(IF(ISBLANK($A111),$B111,$A111),Radionuclide_specific,8,FALSE)*VLOOKUP($B$78,Other_regional_data,5,FALSE)*VLOOKUP($B$78,Interim_regional_data,6,FALSE)*VLOOKUP($B$78,Other_regional_data,9,FALSE)</f>
        <v>4.6534350540697029E-6</v>
      </c>
      <c r="E111" s="47">
        <f t="shared" si="49"/>
        <v>1.293103448275862E-5</v>
      </c>
      <c r="F111" s="47">
        <f t="shared" si="49"/>
        <v>3.0991735537190077E-7</v>
      </c>
      <c r="G111" s="46">
        <f t="shared" si="49"/>
        <v>2.1286800000000001E-4</v>
      </c>
      <c r="H111" s="46">
        <f t="shared" si="49"/>
        <v>2.1286800000000001E-4</v>
      </c>
      <c r="I111" s="47">
        <f t="shared" si="37"/>
        <v>2.2579903448275863E-4</v>
      </c>
      <c r="J111" s="47">
        <f t="shared" si="38"/>
        <v>2.1783135240944162E-4</v>
      </c>
    </row>
    <row r="112" spans="1:10" s="114" customFormat="1">
      <c r="A112" s="91" t="s">
        <v>18</v>
      </c>
      <c r="B112" s="91"/>
      <c r="C112" s="89">
        <f>'Intermediate calcs'!C165*VLOOKUP(IF(ISBLANK($A112),$B112,$A112),Radionuclide_specific,8,FALSE)*VLOOKUP($B$78,Other_regional_data,5,FALSE)*VLOOKUP($B$78,Interim_regional_data,5,FALSE)*VLOOKUP($B$78,Other_regional_data,8,FALSE)</f>
        <v>0</v>
      </c>
      <c r="D112" s="89">
        <f>'Intermediate calcs'!D165*VLOOKUP(IF(ISBLANK($A112),$B112,$A112),Radionuclide_specific,8,FALSE)*VLOOKUP($B$78,Other_regional_data,5,FALSE)*VLOOKUP($B$78,Interim_regional_data,6,FALSE)*VLOOKUP($B$78,Other_regional_data,9,FALSE)</f>
        <v>4.6534350540697029E-6</v>
      </c>
      <c r="E112" s="90">
        <f t="shared" si="49"/>
        <v>1.293103448275862E-5</v>
      </c>
      <c r="F112" s="90">
        <f t="shared" si="49"/>
        <v>3.0991735537190077E-7</v>
      </c>
      <c r="G112" s="89">
        <f t="shared" si="49"/>
        <v>2.1286800000000001E-4</v>
      </c>
      <c r="H112" s="89">
        <f t="shared" si="49"/>
        <v>2.1286800000000001E-4</v>
      </c>
      <c r="I112" s="90">
        <f t="shared" si="37"/>
        <v>2.2579903448275863E-4</v>
      </c>
      <c r="J112" s="90">
        <f t="shared" si="38"/>
        <v>2.1783135240944162E-4</v>
      </c>
    </row>
    <row r="113" spans="1:10">
      <c r="A113" t="s">
        <v>9</v>
      </c>
      <c r="C113" s="46">
        <f>'Intermediate calcs'!C166*VLOOKUP(IF(ISBLANK($A113),$B113,$A113),Radionuclide_specific,8,FALSE)*VLOOKUP($B$78,Other_regional_data,5,FALSE)*VLOOKUP($B$78,Interim_regional_data,5,FALSE)*VLOOKUP($B$78,Other_regional_data,8,FALSE)</f>
        <v>0</v>
      </c>
      <c r="D113" s="46">
        <f>'Intermediate calcs'!D166*VLOOKUP(IF(ISBLANK($A113),$B113,$A113),Radionuclide_specific,8,FALSE)*VLOOKUP($B$78,Other_regional_data,5,FALSE)*VLOOKUP($B$78,Interim_regional_data,6,FALSE)*VLOOKUP($B$78,Other_regional_data,9,FALSE)</f>
        <v>5.2977568307870467E-6</v>
      </c>
      <c r="E113" s="47">
        <f t="shared" si="49"/>
        <v>1.4117647058823528E-4</v>
      </c>
      <c r="F113" s="47">
        <f t="shared" si="49"/>
        <v>3.934426229508197E-6</v>
      </c>
      <c r="G113" s="46">
        <f t="shared" si="49"/>
        <v>1.7029440000000001E-4</v>
      </c>
      <c r="H113" s="46">
        <f t="shared" si="49"/>
        <v>1.7029440000000001E-4</v>
      </c>
      <c r="I113" s="47">
        <f t="shared" si="37"/>
        <v>3.1147087058823529E-4</v>
      </c>
      <c r="J113" s="47">
        <f t="shared" si="38"/>
        <v>1.7952658306029525E-4</v>
      </c>
    </row>
    <row r="115" spans="1:10" s="115" customFormat="1" ht="25.5" customHeight="1">
      <c r="A115" s="44" t="s">
        <v>297</v>
      </c>
      <c r="B115" s="72" t="s">
        <v>63</v>
      </c>
      <c r="C115" s="134" t="s">
        <v>153</v>
      </c>
      <c r="D115" s="134"/>
      <c r="E115" s="134" t="s">
        <v>154</v>
      </c>
      <c r="F115" s="134"/>
      <c r="G115" s="134"/>
      <c r="H115" s="134"/>
      <c r="I115" s="134" t="s">
        <v>64</v>
      </c>
      <c r="J115" s="134"/>
    </row>
    <row r="116" spans="1:10">
      <c r="A116" s="129" t="s">
        <v>149</v>
      </c>
      <c r="B116" s="129" t="s">
        <v>150</v>
      </c>
      <c r="C116" s="131" t="s">
        <v>192</v>
      </c>
      <c r="D116" s="131"/>
      <c r="E116" s="132" t="s">
        <v>184</v>
      </c>
      <c r="F116" s="132"/>
      <c r="G116" s="131" t="s">
        <v>185</v>
      </c>
      <c r="H116" s="131"/>
      <c r="I116" s="132" t="s">
        <v>191</v>
      </c>
      <c r="J116" s="132"/>
    </row>
    <row r="117" spans="1:10">
      <c r="A117" s="129"/>
      <c r="B117" s="129"/>
      <c r="C117" s="70" t="s">
        <v>73</v>
      </c>
      <c r="D117" s="70" t="s">
        <v>74</v>
      </c>
      <c r="E117" s="69" t="s">
        <v>73</v>
      </c>
      <c r="F117" s="69" t="s">
        <v>74</v>
      </c>
      <c r="G117" s="70" t="s">
        <v>73</v>
      </c>
      <c r="H117" s="70" t="s">
        <v>74</v>
      </c>
      <c r="I117" s="71" t="s">
        <v>73</v>
      </c>
      <c r="J117" s="71" t="s">
        <v>74</v>
      </c>
    </row>
    <row r="118" spans="1:10" s="114" customFormat="1">
      <c r="A118" s="88" t="s">
        <v>33</v>
      </c>
      <c r="B118" s="88"/>
      <c r="C118" s="89">
        <f>'Intermediate calcs'!C171*VLOOKUP(IF(ISBLANK($A118),$B118,$A118),Radionuclide_specific,8,FALSE)*VLOOKUP($B$115,Other_regional_data,5,FALSE)*VLOOKUP($B$115,Interim_regional_data,5,FALSE)*VLOOKUP($B$115,Other_regional_data,8,FALSE)</f>
        <v>0</v>
      </c>
      <c r="D118" s="89">
        <f>'Intermediate calcs'!D171*VLOOKUP(IF(ISBLANK($A118),$B118,$A118),Radionuclide_specific,8,FALSE)*VLOOKUP($B$115,Other_regional_data,5,FALSE)*VLOOKUP($B$115,Interim_regional_data,6,FALSE)*VLOOKUP($B$115,Other_regional_data,9,FALSE)</f>
        <v>2.1882903293834269E-11</v>
      </c>
      <c r="E118" s="90">
        <f t="shared" ref="E118:H137" si="54">E81</f>
        <v>1.404E-10</v>
      </c>
      <c r="F118" s="90">
        <f t="shared" si="54"/>
        <v>7.0199999999999988E-11</v>
      </c>
      <c r="G118" s="89">
        <f t="shared" si="54"/>
        <v>5.6764799999999995E-8</v>
      </c>
      <c r="H118" s="89">
        <f t="shared" si="54"/>
        <v>5.6764799999999995E-8</v>
      </c>
      <c r="I118" s="90">
        <f>C118+E118+G118</f>
        <v>5.6905199999999997E-8</v>
      </c>
      <c r="J118" s="90">
        <f>D118+F118+H118</f>
        <v>5.6856882903293828E-8</v>
      </c>
    </row>
    <row r="119" spans="1:10">
      <c r="A119" s="4"/>
      <c r="B119" s="4" t="s">
        <v>43</v>
      </c>
      <c r="C119" s="46">
        <f>'Intermediate calcs'!C172*VLOOKUP(IF(ISBLANK($A119),$B119,$A119),Radionuclide_specific,8,FALSE)*VLOOKUP($B$115,Other_regional_data,5,FALSE)*VLOOKUP($B$115,Interim_regional_data,5,FALSE)*VLOOKUP($B$115,Other_regional_data,8,FALSE)</f>
        <v>0</v>
      </c>
      <c r="D119" s="46">
        <f>'Intermediate calcs'!D172*VLOOKUP(IF(ISBLANK($A119),$B119,$A119),Radionuclide_specific,8,FALSE)*VLOOKUP($B$115,Other_regional_data,5,FALSE)*VLOOKUP($B$115,Interim_regional_data,6,FALSE)*VLOOKUP($B$115,Other_regional_data,9,FALSE)</f>
        <v>1.1323089480361609E-10</v>
      </c>
      <c r="E119" s="47">
        <f t="shared" si="54"/>
        <v>3.9639599999999992E-14</v>
      </c>
      <c r="F119" s="47">
        <f t="shared" si="54"/>
        <v>1.9819799999999996E-14</v>
      </c>
      <c r="G119" s="46">
        <f t="shared" si="54"/>
        <v>1.3245119999999998E-7</v>
      </c>
      <c r="H119" s="46">
        <f t="shared" si="54"/>
        <v>1.3245119999999998E-7</v>
      </c>
      <c r="I119" s="47">
        <f t="shared" ref="I119:I150" si="55">C119+E119+G119</f>
        <v>1.3245123963959997E-7</v>
      </c>
      <c r="J119" s="47">
        <f t="shared" ref="J119:J150" si="56">D119+F119+H119</f>
        <v>1.3256445071460359E-7</v>
      </c>
    </row>
    <row r="120" spans="1:10" s="114" customFormat="1">
      <c r="A120" s="88" t="s">
        <v>10</v>
      </c>
      <c r="B120" s="88"/>
      <c r="C120" s="89">
        <f>'Intermediate calcs'!C173*VLOOKUP(IF(ISBLANK($A120),$B120,$A120),Radionuclide_specific,8,FALSE)*VLOOKUP($B$115,Other_regional_data,5,FALSE)*VLOOKUP($B$115,Interim_regional_data,5,FALSE)*VLOOKUP($B$115,Other_regional_data,8,FALSE)</f>
        <v>0</v>
      </c>
      <c r="D120" s="89">
        <f>'Intermediate calcs'!D173*VLOOKUP(IF(ISBLANK($A120),$B120,$A120),Radionuclide_specific,8,FALSE)*VLOOKUP($B$115,Other_regional_data,5,FALSE)*VLOOKUP($B$115,Interim_regional_data,6,FALSE)*VLOOKUP($B$115,Other_regional_data,9,FALSE)</f>
        <v>3.5387297394176602E-6</v>
      </c>
      <c r="E120" s="90">
        <f t="shared" si="54"/>
        <v>2.3197680231976806E-3</v>
      </c>
      <c r="F120" s="90">
        <f t="shared" si="54"/>
        <v>1.1571072319201997E-3</v>
      </c>
      <c r="G120" s="89">
        <f t="shared" si="54"/>
        <v>1.8290879999999999E-6</v>
      </c>
      <c r="H120" s="89">
        <f t="shared" si="54"/>
        <v>1.8290879999999999E-6</v>
      </c>
      <c r="I120" s="90">
        <f t="shared" si="55"/>
        <v>2.3215971111976807E-3</v>
      </c>
      <c r="J120" s="90">
        <f t="shared" si="56"/>
        <v>1.1624750496596174E-3</v>
      </c>
    </row>
    <row r="121" spans="1:10" s="114" customFormat="1">
      <c r="A121" s="88" t="s">
        <v>240</v>
      </c>
      <c r="B121" s="88"/>
      <c r="C121" s="46">
        <f>'Intermediate calcs'!C174*VLOOKUP(IF(ISBLANK($A121),$B121,$A121),Radionuclide_specific,8,FALSE)*VLOOKUP($B$115,Other_regional_data,5,FALSE)*VLOOKUP($B$115,Interim_regional_data,5,FALSE)*VLOOKUP($B$115,Other_regional_data,8,FALSE)</f>
        <v>0</v>
      </c>
      <c r="D121" s="46">
        <f>'Intermediate calcs'!D174*VLOOKUP(IF(ISBLANK($A121),$B121,$A121),Radionuclide_specific,8,FALSE)*VLOOKUP($B$115,Other_regional_data,5,FALSE)*VLOOKUP($B$115,Interim_regional_data,6,FALSE)*VLOOKUP($B$115,Other_regional_data,9,FALSE)</f>
        <v>2.2881963382617015E-7</v>
      </c>
      <c r="E121" s="47">
        <f t="shared" si="54"/>
        <v>6.1354581673306769E-6</v>
      </c>
      <c r="F121" s="47">
        <f t="shared" si="54"/>
        <v>2.8000000000000003E-6</v>
      </c>
      <c r="G121" s="46">
        <f t="shared" si="54"/>
        <v>1.3112668800000002E-6</v>
      </c>
      <c r="H121" s="46">
        <f t="shared" si="54"/>
        <v>1.3112668800000002E-6</v>
      </c>
      <c r="I121" s="47">
        <f t="shared" si="55"/>
        <v>7.4467250473306775E-6</v>
      </c>
      <c r="J121" s="47">
        <f t="shared" si="56"/>
        <v>4.3400865138261704E-6</v>
      </c>
    </row>
    <row r="122" spans="1:10" s="114" customFormat="1">
      <c r="A122" s="88" t="s">
        <v>237</v>
      </c>
      <c r="B122" s="88"/>
      <c r="C122" s="46">
        <f>'Intermediate calcs'!C175*VLOOKUP(IF(ISBLANK($A122),$B122,$A122),Radionuclide_specific,8,FALSE)*VLOOKUP($B$115,Other_regional_data,5,FALSE)*VLOOKUP($B$115,Interim_regional_data,5,FALSE)*VLOOKUP($B$115,Other_regional_data,8,FALSE)</f>
        <v>0</v>
      </c>
      <c r="D122" s="46">
        <f>'Intermediate calcs'!D175*VLOOKUP(IF(ISBLANK($A122),$B122,$A122),Radionuclide_specific,8,FALSE)*VLOOKUP($B$115,Other_regional_data,5,FALSE)*VLOOKUP($B$115,Interim_regional_data,6,FALSE)*VLOOKUP($B$115,Other_regional_data,9,FALSE)</f>
        <v>4.8759511261548217E-8</v>
      </c>
      <c r="E122" s="47">
        <f t="shared" si="54"/>
        <v>6.6046511627906978E-7</v>
      </c>
      <c r="F122" s="47">
        <f t="shared" si="54"/>
        <v>2.1037037037037039E-8</v>
      </c>
      <c r="G122" s="46">
        <f t="shared" si="54"/>
        <v>8.060601599999999E-7</v>
      </c>
      <c r="H122" s="46">
        <f t="shared" si="54"/>
        <v>8.060601599999999E-7</v>
      </c>
      <c r="I122" s="47">
        <f t="shared" ref="I122" si="57">C122+E122+G122</f>
        <v>1.4665252762790697E-6</v>
      </c>
      <c r="J122" s="47">
        <f t="shared" ref="J122" si="58">D122+F122+H122</f>
        <v>8.7585670829858518E-7</v>
      </c>
    </row>
    <row r="123" spans="1:10" s="114" customFormat="1">
      <c r="A123" s="88" t="s">
        <v>236</v>
      </c>
      <c r="B123" s="88"/>
      <c r="C123" s="46">
        <f>'Intermediate calcs'!C176*VLOOKUP(IF(ISBLANK($A123),$B123,$A123),Radionuclide_specific,8,FALSE)*VLOOKUP($B$115,Other_regional_data,5,FALSE)*VLOOKUP($B$115,Interim_regional_data,5,FALSE)*VLOOKUP($B$115,Other_regional_data,8,FALSE)</f>
        <v>0</v>
      </c>
      <c r="D123" s="46">
        <f>'Intermediate calcs'!D176*VLOOKUP(IF(ISBLANK($A123),$B123,$A123),Radionuclide_specific,8,FALSE)*VLOOKUP($B$115,Other_regional_data,5,FALSE)*VLOOKUP($B$115,Interim_regional_data,6,FALSE)*VLOOKUP($B$115,Other_regional_data,9,FALSE)</f>
        <v>3.1364407034813083E-8</v>
      </c>
      <c r="E123" s="47">
        <f t="shared" si="54"/>
        <v>2.9914893617021279E-7</v>
      </c>
      <c r="F123" s="47">
        <f t="shared" si="54"/>
        <v>1.222608695652174E-8</v>
      </c>
      <c r="G123" s="46">
        <f t="shared" si="54"/>
        <v>1.2601785600000002E-6</v>
      </c>
      <c r="H123" s="46">
        <f t="shared" si="54"/>
        <v>1.2601785600000002E-6</v>
      </c>
      <c r="I123" s="47">
        <f t="shared" ref="I123" si="59">C123+E123+G123</f>
        <v>1.559327496170213E-6</v>
      </c>
      <c r="J123" s="47">
        <f t="shared" ref="J123" si="60">D123+F123+H123</f>
        <v>1.3037690539913349E-6</v>
      </c>
    </row>
    <row r="124" spans="1:10">
      <c r="A124" s="4" t="s">
        <v>11</v>
      </c>
      <c r="B124" s="4"/>
      <c r="C124" s="46">
        <f>'Intermediate calcs'!C177*VLOOKUP(IF(ISBLANK($A124),$B124,$A124),Radionuclide_specific,8,FALSE)*VLOOKUP($B$115,Other_regional_data,5,FALSE)*VLOOKUP($B$115,Interim_regional_data,5,FALSE)*VLOOKUP($B$115,Other_regional_data,8,FALSE)</f>
        <v>0</v>
      </c>
      <c r="D124" s="46">
        <f>'Intermediate calcs'!D177*VLOOKUP(IF(ISBLANK($A124),$B124,$A124),Radionuclide_specific,8,FALSE)*VLOOKUP($B$115,Other_regional_data,5,FALSE)*VLOOKUP($B$115,Interim_regional_data,6,FALSE)*VLOOKUP($B$115,Other_regional_data,9,FALSE)</f>
        <v>2.8712996076373278E-7</v>
      </c>
      <c r="E124" s="47">
        <f t="shared" si="54"/>
        <v>1.3744680851063828E-6</v>
      </c>
      <c r="F124" s="47">
        <f t="shared" si="54"/>
        <v>5.6173913043478253E-8</v>
      </c>
      <c r="G124" s="46">
        <f t="shared" si="54"/>
        <v>5.7900096000000006E-6</v>
      </c>
      <c r="H124" s="46">
        <f t="shared" si="54"/>
        <v>5.7900096000000006E-6</v>
      </c>
      <c r="I124" s="47">
        <f t="shared" si="55"/>
        <v>7.1644776851063831E-6</v>
      </c>
      <c r="J124" s="47">
        <f t="shared" si="56"/>
        <v>6.1333134738072117E-6</v>
      </c>
    </row>
    <row r="125" spans="1:10">
      <c r="A125" s="4" t="s">
        <v>178</v>
      </c>
      <c r="B125" s="4"/>
      <c r="C125" s="46">
        <f>'Intermediate calcs'!C178*VLOOKUP(IF(ISBLANK($A125),$B125,$A125),Radionuclide_specific,8,FALSE)*VLOOKUP($B$115,Other_regional_data,5,FALSE)*VLOOKUP($B$115,Interim_regional_data,5,FALSE)*VLOOKUP($B$115,Other_regional_data,8,FALSE)</f>
        <v>0</v>
      </c>
      <c r="D125" s="46">
        <f>'Intermediate calcs'!D178*VLOOKUP(IF(ISBLANK($A125),$B125,$A125),Radionuclide_specific,8,FALSE)*VLOOKUP($B$115,Other_regional_data,5,FALSE)*VLOOKUP($B$115,Interim_regional_data,6,FALSE)*VLOOKUP($B$115,Other_regional_data,9,FALSE)</f>
        <v>5.6238912126281636E-7</v>
      </c>
      <c r="E125" s="47">
        <f t="shared" si="54"/>
        <v>1.3128712871287129E-4</v>
      </c>
      <c r="F125" s="47">
        <f t="shared" si="54"/>
        <v>5.3040000000000007E-5</v>
      </c>
      <c r="G125" s="46">
        <f t="shared" si="54"/>
        <v>6.6414816E-6</v>
      </c>
      <c r="H125" s="46">
        <f t="shared" si="54"/>
        <v>6.6414816E-6</v>
      </c>
      <c r="I125" s="47">
        <f t="shared" ref="I125" si="61">C125+E125+G125</f>
        <v>1.3792861031287128E-4</v>
      </c>
      <c r="J125" s="47">
        <f t="shared" ref="J125" si="62">D125+F125+H125</f>
        <v>6.0243870721262824E-5</v>
      </c>
    </row>
    <row r="126" spans="1:10">
      <c r="A126" s="4" t="s">
        <v>17</v>
      </c>
      <c r="B126" s="4"/>
      <c r="C126" s="46">
        <f>'Intermediate calcs'!C179*VLOOKUP(IF(ISBLANK($A126),$B126,$A126),Radionuclide_specific,8,FALSE)*VLOOKUP($B$115,Other_regional_data,5,FALSE)*VLOOKUP($B$115,Interim_regional_data,5,FALSE)*VLOOKUP($B$115,Other_regional_data,8,FALSE)</f>
        <v>0</v>
      </c>
      <c r="D126" s="46">
        <f>'Intermediate calcs'!D179*VLOOKUP(IF(ISBLANK($A126),$B126,$A126),Radionuclide_specific,8,FALSE)*VLOOKUP($B$115,Other_regional_data,5,FALSE)*VLOOKUP($B$115,Interim_regional_data,6,FALSE)*VLOOKUP($B$115,Other_regional_data,9,FALSE)</f>
        <v>1.5816048782135472E-5</v>
      </c>
      <c r="E126" s="47">
        <f t="shared" si="54"/>
        <v>7.929687499999999E-7</v>
      </c>
      <c r="F126" s="47">
        <f t="shared" si="54"/>
        <v>2.5374999999999995E-7</v>
      </c>
      <c r="G126" s="46">
        <f t="shared" si="54"/>
        <v>7.1523647999999999E-5</v>
      </c>
      <c r="H126" s="46">
        <f t="shared" si="54"/>
        <v>7.1523647999999999E-5</v>
      </c>
      <c r="I126" s="47">
        <f t="shared" si="55"/>
        <v>7.2316616749999992E-5</v>
      </c>
      <c r="J126" s="47">
        <f t="shared" si="56"/>
        <v>8.7593446782135471E-5</v>
      </c>
    </row>
    <row r="127" spans="1:10">
      <c r="A127" s="4"/>
      <c r="B127" s="4" t="s">
        <v>105</v>
      </c>
      <c r="C127" s="46">
        <f>'Intermediate calcs'!C180*VLOOKUP(IF(ISBLANK($A127),$B127,$A127),Radionuclide_specific,8,FALSE)*VLOOKUP($B$115,Other_regional_data,5,FALSE)*VLOOKUP($B$115,Interim_regional_data,5,FALSE)*VLOOKUP($B$115,Other_regional_data,8,FALSE)</f>
        <v>0</v>
      </c>
      <c r="D127" s="46">
        <f>'Intermediate calcs'!D180*VLOOKUP(IF(ISBLANK($A127),$B127,$A127),Radionuclide_specific,8,FALSE)*VLOOKUP($B$115,Other_regional_data,5,FALSE)*VLOOKUP($B$115,Interim_regional_data,6,FALSE)*VLOOKUP($B$115,Other_regional_data,9,FALSE)</f>
        <v>0</v>
      </c>
      <c r="E127" s="47">
        <f t="shared" si="54"/>
        <v>0</v>
      </c>
      <c r="F127" s="47">
        <f t="shared" si="54"/>
        <v>0</v>
      </c>
      <c r="G127" s="46">
        <f t="shared" si="54"/>
        <v>0</v>
      </c>
      <c r="H127" s="46">
        <f t="shared" si="54"/>
        <v>0</v>
      </c>
      <c r="I127" s="47">
        <f t="shared" si="55"/>
        <v>0</v>
      </c>
      <c r="J127" s="47">
        <f t="shared" si="56"/>
        <v>0</v>
      </c>
    </row>
    <row r="128" spans="1:10">
      <c r="A128" s="4" t="s">
        <v>66</v>
      </c>
      <c r="B128" s="4"/>
      <c r="C128" s="46">
        <f>'Intermediate calcs'!C181*VLOOKUP(IF(ISBLANK($A128),$B128,$A128),Radionuclide_specific,8,FALSE)*VLOOKUP($B$115,Other_regional_data,5,FALSE)*VLOOKUP($B$115,Interim_regional_data,5,FALSE)*VLOOKUP($B$115,Other_regional_data,8,FALSE)</f>
        <v>0</v>
      </c>
      <c r="D128" s="46">
        <f>'Intermediate calcs'!D181*VLOOKUP(IF(ISBLANK($A128),$B128,$A128),Radionuclide_specific,8,FALSE)*VLOOKUP($B$115,Other_regional_data,5,FALSE)*VLOOKUP($B$115,Interim_regional_data,6,FALSE)*VLOOKUP($B$115,Other_regional_data,9,FALSE)</f>
        <v>5.4541945377039814E-8</v>
      </c>
      <c r="E128" s="47">
        <f t="shared" si="54"/>
        <v>2.3475609756097559E-6</v>
      </c>
      <c r="F128" s="47">
        <f t="shared" si="54"/>
        <v>1.1323529411764707E-7</v>
      </c>
      <c r="G128" s="46">
        <f t="shared" si="54"/>
        <v>1.1920607999999999E-5</v>
      </c>
      <c r="H128" s="46">
        <f t="shared" si="54"/>
        <v>1.1920607999999999E-5</v>
      </c>
      <c r="I128" s="47">
        <f t="shared" si="55"/>
        <v>1.4268168975609756E-5</v>
      </c>
      <c r="J128" s="47">
        <f t="shared" si="56"/>
        <v>1.2088385239494686E-5</v>
      </c>
    </row>
    <row r="129" spans="1:10">
      <c r="A129" s="4"/>
      <c r="B129" s="4" t="s">
        <v>106</v>
      </c>
      <c r="C129" s="46">
        <f>'Intermediate calcs'!C182*VLOOKUP(IF(ISBLANK($A129),$B129,$A129),Radionuclide_specific,8,FALSE)*VLOOKUP($B$115,Other_regional_data,5,FALSE)*VLOOKUP($B$115,Interim_regional_data,5,FALSE)*VLOOKUP($B$115,Other_regional_data,8,FALSE)</f>
        <v>0</v>
      </c>
      <c r="D129" s="46">
        <f>'Intermediate calcs'!D182*VLOOKUP(IF(ISBLANK($A129),$B129,$A129),Radionuclide_specific,8,FALSE)*VLOOKUP($B$115,Other_regional_data,5,FALSE)*VLOOKUP($B$115,Interim_regional_data,6,FALSE)*VLOOKUP($B$115,Other_regional_data,9,FALSE)</f>
        <v>0</v>
      </c>
      <c r="E129" s="47">
        <f t="shared" si="54"/>
        <v>0</v>
      </c>
      <c r="F129" s="47">
        <f t="shared" si="54"/>
        <v>0</v>
      </c>
      <c r="G129" s="46">
        <f t="shared" si="54"/>
        <v>0</v>
      </c>
      <c r="H129" s="46">
        <f t="shared" si="54"/>
        <v>0</v>
      </c>
      <c r="I129" s="47">
        <f t="shared" si="55"/>
        <v>0</v>
      </c>
      <c r="J129" s="47">
        <f t="shared" si="56"/>
        <v>0</v>
      </c>
    </row>
    <row r="130" spans="1:10">
      <c r="A130" s="4" t="s">
        <v>67</v>
      </c>
      <c r="B130" s="4"/>
      <c r="C130" s="46">
        <f>'Intermediate calcs'!C183*VLOOKUP(IF(ISBLANK($A130),$B130,$A130),Radionuclide_specific,8,FALSE)*VLOOKUP($B$115,Other_regional_data,5,FALSE)*VLOOKUP($B$115,Interim_regional_data,5,FALSE)*VLOOKUP($B$115,Other_regional_data,8,FALSE)</f>
        <v>0</v>
      </c>
      <c r="D130" s="46">
        <f>'Intermediate calcs'!D183*VLOOKUP(IF(ISBLANK($A130),$B130,$A130),Radionuclide_specific,8,FALSE)*VLOOKUP($B$115,Other_regional_data,5,FALSE)*VLOOKUP($B$115,Interim_regional_data,6,FALSE)*VLOOKUP($B$115,Other_regional_data,9,FALSE)</f>
        <v>5.2844978627798004E-5</v>
      </c>
      <c r="E130" s="47">
        <f t="shared" si="54"/>
        <v>3.0330882352941179E-5</v>
      </c>
      <c r="F130" s="47">
        <f t="shared" si="54"/>
        <v>5.1562499999999991E-6</v>
      </c>
      <c r="G130" s="46">
        <f t="shared" si="54"/>
        <v>2.8098576000000003E-4</v>
      </c>
      <c r="H130" s="46">
        <f t="shared" si="54"/>
        <v>2.8098576000000003E-4</v>
      </c>
      <c r="I130" s="47">
        <f t="shared" si="55"/>
        <v>3.113166423529412E-4</v>
      </c>
      <c r="J130" s="47">
        <f t="shared" si="56"/>
        <v>3.3898698862779806E-4</v>
      </c>
    </row>
    <row r="131" spans="1:10">
      <c r="A131" s="4" t="s">
        <v>239</v>
      </c>
      <c r="B131" s="4"/>
      <c r="C131" s="46">
        <f>'Intermediate calcs'!C184*VLOOKUP(IF(ISBLANK($A131),$B131,$A131),Radionuclide_specific,8,FALSE)*VLOOKUP($B$115,Other_regional_data,5,FALSE)*VLOOKUP($B$115,Interim_regional_data,5,FALSE)*VLOOKUP($B$115,Other_regional_data,8,FALSE)</f>
        <v>0</v>
      </c>
      <c r="D131" s="46">
        <f>'Intermediate calcs'!D184*VLOOKUP(IF(ISBLANK($A131),$B131,$A131),Radionuclide_specific,8,FALSE)*VLOOKUP($B$115,Other_regional_data,5,FALSE)*VLOOKUP($B$115,Interim_regional_data,6,FALSE)*VLOOKUP($B$115,Other_regional_data,9,FALSE)</f>
        <v>6.7241311566201585E-8</v>
      </c>
      <c r="E131" s="47">
        <f t="shared" si="54"/>
        <v>5.5147058823529418E-7</v>
      </c>
      <c r="F131" s="47">
        <f t="shared" si="54"/>
        <v>9.3750000000000002E-8</v>
      </c>
      <c r="G131" s="46">
        <f t="shared" si="54"/>
        <v>5.108832000000001E-6</v>
      </c>
      <c r="H131" s="46">
        <f t="shared" si="54"/>
        <v>5.108832000000001E-6</v>
      </c>
      <c r="I131" s="47">
        <f t="shared" ref="I131" si="63">C131+E131+G131</f>
        <v>5.6603025882352951E-6</v>
      </c>
      <c r="J131" s="47">
        <f t="shared" ref="J131" si="64">D131+F131+H131</f>
        <v>5.2698233115662029E-6</v>
      </c>
    </row>
    <row r="132" spans="1:10">
      <c r="A132" s="4" t="s">
        <v>177</v>
      </c>
      <c r="B132" s="4"/>
      <c r="C132" s="46">
        <f>'Intermediate calcs'!C185*VLOOKUP(IF(ISBLANK($A132),$B132,$A132),Radionuclide_specific,8,FALSE)*VLOOKUP($B$115,Other_regional_data,5,FALSE)*VLOOKUP($B$115,Interim_regional_data,5,FALSE)*VLOOKUP($B$115,Other_regional_data,8,FALSE)</f>
        <v>0</v>
      </c>
      <c r="D132" s="46">
        <f>'Intermediate calcs'!D185*VLOOKUP(IF(ISBLANK($A132),$B132,$A132),Radionuclide_specific,8,FALSE)*VLOOKUP($B$115,Other_regional_data,5,FALSE)*VLOOKUP($B$115,Interim_regional_data,6,FALSE)*VLOOKUP($B$115,Other_regional_data,9,FALSE)</f>
        <v>7.4323956824774255E-6</v>
      </c>
      <c r="E132" s="47">
        <f t="shared" si="54"/>
        <v>3.0063291139240513E-4</v>
      </c>
      <c r="F132" s="47">
        <f t="shared" si="54"/>
        <v>1.5322580645161292E-5</v>
      </c>
      <c r="G132" s="46">
        <f t="shared" si="54"/>
        <v>4.8533904000000011E-5</v>
      </c>
      <c r="H132" s="46">
        <f t="shared" si="54"/>
        <v>4.8533904000000011E-5</v>
      </c>
      <c r="I132" s="47">
        <f t="shared" ref="I132" si="65">C132+E132+G132</f>
        <v>3.4916681539240511E-4</v>
      </c>
      <c r="J132" s="47">
        <f t="shared" ref="J132" si="66">D132+F132+H132</f>
        <v>7.128888032763872E-5</v>
      </c>
    </row>
    <row r="133" spans="1:10">
      <c r="A133" s="4" t="s">
        <v>12</v>
      </c>
      <c r="B133" s="4"/>
      <c r="C133" s="46">
        <f>'Intermediate calcs'!C186*VLOOKUP(IF(ISBLANK($A133),$B133,$A133),Radionuclide_specific,8,FALSE)*VLOOKUP($B$115,Other_regional_data,5,FALSE)*VLOOKUP($B$115,Interim_regional_data,5,FALSE)*VLOOKUP($B$115,Other_regional_data,8,FALSE)</f>
        <v>0</v>
      </c>
      <c r="D133" s="46">
        <f>'Intermediate calcs'!D186*VLOOKUP(IF(ISBLANK($A133),$B133,$A133),Radionuclide_specific,8,FALSE)*VLOOKUP($B$115,Other_regional_data,5,FALSE)*VLOOKUP($B$115,Interim_regional_data,6,FALSE)*VLOOKUP($B$115,Other_regional_data,9,FALSE)</f>
        <v>6.1003166192228164E-6</v>
      </c>
      <c r="E133" s="47">
        <f t="shared" si="54"/>
        <v>2.0569620253164559E-4</v>
      </c>
      <c r="F133" s="47">
        <f t="shared" si="54"/>
        <v>1.0483870967741936E-5</v>
      </c>
      <c r="G133" s="46">
        <f t="shared" si="54"/>
        <v>3.3207408000000005E-5</v>
      </c>
      <c r="H133" s="46">
        <f t="shared" si="54"/>
        <v>3.3207408000000005E-5</v>
      </c>
      <c r="I133" s="47">
        <f t="shared" si="55"/>
        <v>2.3890361053164558E-4</v>
      </c>
      <c r="J133" s="47">
        <f t="shared" si="56"/>
        <v>4.9791595586964755E-5</v>
      </c>
    </row>
    <row r="134" spans="1:10">
      <c r="A134" s="4"/>
      <c r="B134" s="4" t="s">
        <v>107</v>
      </c>
      <c r="C134" s="46">
        <f>'Intermediate calcs'!C187*VLOOKUP(IF(ISBLANK($A134),$B134,$A134),Radionuclide_specific,8,FALSE)*VLOOKUP($B$115,Other_regional_data,5,FALSE)*VLOOKUP($B$115,Interim_regional_data,5,FALSE)*VLOOKUP($B$115,Other_regional_data,8,FALSE)</f>
        <v>0</v>
      </c>
      <c r="D134" s="46">
        <f>'Intermediate calcs'!D187*VLOOKUP(IF(ISBLANK($A134),$B134,$A134),Radionuclide_specific,8,FALSE)*VLOOKUP($B$115,Other_regional_data,5,FALSE)*VLOOKUP($B$115,Interim_regional_data,6,FALSE)*VLOOKUP($B$115,Other_regional_data,9,FALSE)</f>
        <v>0</v>
      </c>
      <c r="E134" s="47">
        <f t="shared" si="54"/>
        <v>0</v>
      </c>
      <c r="F134" s="47">
        <f t="shared" si="54"/>
        <v>0</v>
      </c>
      <c r="G134" s="46">
        <f t="shared" si="54"/>
        <v>0</v>
      </c>
      <c r="H134" s="46">
        <f t="shared" si="54"/>
        <v>0</v>
      </c>
      <c r="I134" s="47">
        <f t="shared" si="55"/>
        <v>0</v>
      </c>
      <c r="J134" s="47">
        <f t="shared" si="56"/>
        <v>0</v>
      </c>
    </row>
    <row r="135" spans="1:10">
      <c r="A135" s="4" t="s">
        <v>22</v>
      </c>
      <c r="B135" s="4"/>
      <c r="C135" s="46">
        <f>'Intermediate calcs'!C188*VLOOKUP(IF(ISBLANK($A135),$B135,$A135),Radionuclide_specific,8,FALSE)*VLOOKUP($B$115,Other_regional_data,5,FALSE)*VLOOKUP($B$115,Interim_regional_data,5,FALSE)*VLOOKUP($B$115,Other_regional_data,8,FALSE)</f>
        <v>0</v>
      </c>
      <c r="D135" s="46">
        <f>'Intermediate calcs'!D188*VLOOKUP(IF(ISBLANK($A135),$B135,$A135),Radionuclide_specific,8,FALSE)*VLOOKUP($B$115,Other_regional_data,5,FALSE)*VLOOKUP($B$115,Interim_regional_data,6,FALSE)*VLOOKUP($B$115,Other_regional_data,9,FALSE)</f>
        <v>2.2593558705046334E-5</v>
      </c>
      <c r="E135" s="47">
        <f t="shared" si="54"/>
        <v>1.4374999999999997E-4</v>
      </c>
      <c r="F135" s="47">
        <f t="shared" si="54"/>
        <v>1.4374999999999999E-5</v>
      </c>
      <c r="G135" s="46">
        <f t="shared" si="54"/>
        <v>1.1750313599999999E-3</v>
      </c>
      <c r="H135" s="46">
        <f t="shared" si="54"/>
        <v>1.1750313599999999E-3</v>
      </c>
      <c r="I135" s="47">
        <f t="shared" si="55"/>
        <v>1.3187813599999999E-3</v>
      </c>
      <c r="J135" s="47">
        <f t="shared" si="56"/>
        <v>1.2119999187050461E-3</v>
      </c>
    </row>
    <row r="136" spans="1:10">
      <c r="A136" s="4" t="s">
        <v>19</v>
      </c>
      <c r="B136" s="4"/>
      <c r="C136" s="46">
        <f>'Intermediate calcs'!C189*VLOOKUP(IF(ISBLANK($A136),$B136,$A136),Radionuclide_specific,8,FALSE)*VLOOKUP($B$115,Other_regional_data,5,FALSE)*VLOOKUP($B$115,Interim_regional_data,5,FALSE)*VLOOKUP($B$115,Other_regional_data,8,FALSE)</f>
        <v>0</v>
      </c>
      <c r="D136" s="46">
        <f>'Intermediate calcs'!D189*VLOOKUP(IF(ISBLANK($A136),$B136,$A136),Radionuclide_specific,8,FALSE)*VLOOKUP($B$115,Other_regional_data,5,FALSE)*VLOOKUP($B$115,Interim_regional_data,6,FALSE)*VLOOKUP($B$115,Other_regional_data,9,FALSE)</f>
        <v>4.7228257697208883E-6</v>
      </c>
      <c r="E136" s="47">
        <f t="shared" si="54"/>
        <v>2.3999999999999998E-4</v>
      </c>
      <c r="F136" s="47">
        <f t="shared" si="54"/>
        <v>1.0285714285714285E-5</v>
      </c>
      <c r="G136" s="46">
        <f t="shared" si="54"/>
        <v>2.0435328000000001E-3</v>
      </c>
      <c r="H136" s="46">
        <f t="shared" si="54"/>
        <v>2.0435328000000001E-3</v>
      </c>
      <c r="I136" s="47">
        <f t="shared" si="55"/>
        <v>2.2835327999999998E-3</v>
      </c>
      <c r="J136" s="47">
        <f t="shared" si="56"/>
        <v>2.0585413400554353E-3</v>
      </c>
    </row>
    <row r="137" spans="1:10">
      <c r="A137" s="4" t="s">
        <v>14</v>
      </c>
      <c r="B137" s="4"/>
      <c r="C137" s="46">
        <f>'Intermediate calcs'!C190*VLOOKUP(IF(ISBLANK($A137),$B137,$A137),Radionuclide_specific,8,FALSE)*VLOOKUP($B$115,Other_regional_data,5,FALSE)*VLOOKUP($B$115,Interim_regional_data,5,FALSE)*VLOOKUP($B$115,Other_regional_data,8,FALSE)</f>
        <v>0</v>
      </c>
      <c r="D137" s="46">
        <f>'Intermediate calcs'!D190*VLOOKUP(IF(ISBLANK($A137),$B137,$A137),Radionuclide_specific,8,FALSE)*VLOOKUP($B$115,Other_regional_data,5,FALSE)*VLOOKUP($B$115,Interim_regional_data,6,FALSE)*VLOOKUP($B$115,Other_regional_data,9,FALSE)</f>
        <v>5.8668841039515227E-5</v>
      </c>
      <c r="E137" s="47">
        <f t="shared" si="54"/>
        <v>9.7560975609756076E-6</v>
      </c>
      <c r="F137" s="47">
        <f t="shared" si="54"/>
        <v>1.1914893617021278E-6</v>
      </c>
      <c r="G137" s="46">
        <f t="shared" si="54"/>
        <v>4.7682432000000006E-4</v>
      </c>
      <c r="H137" s="46">
        <f t="shared" si="54"/>
        <v>4.7682432000000006E-4</v>
      </c>
      <c r="I137" s="47">
        <f t="shared" si="55"/>
        <v>4.8658041756097567E-4</v>
      </c>
      <c r="J137" s="47">
        <f t="shared" si="56"/>
        <v>5.3668465040121742E-4</v>
      </c>
    </row>
    <row r="138" spans="1:10">
      <c r="A138" s="4" t="s">
        <v>156</v>
      </c>
      <c r="B138" s="4"/>
      <c r="C138" s="46">
        <f>'Intermediate calcs'!C191*VLOOKUP(IF(ISBLANK($A138),$B138,$A138),Radionuclide_specific,8,FALSE)*VLOOKUP($B$115,Other_regional_data,5,FALSE)*VLOOKUP($B$115,Interim_regional_data,5,FALSE)*VLOOKUP($B$115,Other_regional_data,8,FALSE)</f>
        <v>0</v>
      </c>
      <c r="D138" s="46">
        <f>'Intermediate calcs'!D191*VLOOKUP(IF(ISBLANK($A138),$B138,$A138),Radionuclide_specific,8,FALSE)*VLOOKUP($B$115,Other_regional_data,5,FALSE)*VLOOKUP($B$115,Interim_regional_data,6,FALSE)*VLOOKUP($B$115,Other_regional_data,9,FALSE)</f>
        <v>1.3267411866255392E-6</v>
      </c>
      <c r="E138" s="47">
        <f t="shared" ref="E138:H150" si="67">E101</f>
        <v>2.6249999999999999E-6</v>
      </c>
      <c r="F138" s="47">
        <f t="shared" si="67"/>
        <v>6.5624999999999994E-8</v>
      </c>
      <c r="G138" s="46">
        <f t="shared" si="67"/>
        <v>1.9867679999999998E-4</v>
      </c>
      <c r="H138" s="46">
        <f t="shared" si="67"/>
        <v>1.9867679999999998E-4</v>
      </c>
      <c r="I138" s="47">
        <f t="shared" ref="I138" si="68">C138+E138+G138</f>
        <v>2.0130179999999998E-4</v>
      </c>
      <c r="J138" s="47">
        <f t="shared" ref="J138" si="69">D138+F138+H138</f>
        <v>2.0006916618662551E-4</v>
      </c>
    </row>
    <row r="139" spans="1:10">
      <c r="A139" s="4" t="s">
        <v>20</v>
      </c>
      <c r="B139" s="4"/>
      <c r="C139" s="46">
        <f>'Intermediate calcs'!C192*VLOOKUP(IF(ISBLANK($A139),$B139,$A139),Radionuclide_specific,8,FALSE)*VLOOKUP($B$115,Other_regional_data,5,FALSE)*VLOOKUP($B$115,Interim_regional_data,5,FALSE)*VLOOKUP($B$115,Other_regional_data,8,FALSE)</f>
        <v>0</v>
      </c>
      <c r="D139" s="46">
        <f>'Intermediate calcs'!D192*VLOOKUP(IF(ISBLANK($A139),$B139,$A139),Radionuclide_specific,8,FALSE)*VLOOKUP($B$115,Other_regional_data,5,FALSE)*VLOOKUP($B$115,Interim_regional_data,6,FALSE)*VLOOKUP($B$115,Other_regional_data,9,FALSE)</f>
        <v>1.4530974901136857E-6</v>
      </c>
      <c r="E139" s="47">
        <f t="shared" si="67"/>
        <v>2.875E-6</v>
      </c>
      <c r="F139" s="47">
        <f t="shared" si="67"/>
        <v>7.1875E-8</v>
      </c>
      <c r="G139" s="46">
        <f t="shared" si="67"/>
        <v>2.1759839999999997E-4</v>
      </c>
      <c r="H139" s="46">
        <f t="shared" si="67"/>
        <v>2.1759839999999997E-4</v>
      </c>
      <c r="I139" s="47">
        <f t="shared" si="55"/>
        <v>2.2047339999999998E-4</v>
      </c>
      <c r="J139" s="47">
        <f t="shared" si="56"/>
        <v>2.1912337249011365E-4</v>
      </c>
    </row>
    <row r="140" spans="1:10">
      <c r="A140" s="4"/>
      <c r="B140" s="4" t="s">
        <v>29</v>
      </c>
      <c r="C140" s="46">
        <f>'Intermediate calcs'!C193*VLOOKUP(IF(ISBLANK($A140),$B140,$A140),Radionuclide_specific,8,FALSE)*VLOOKUP($B$115,Other_regional_data,5,FALSE)*VLOOKUP($B$115,Interim_regional_data,5,FALSE)*VLOOKUP($B$115,Other_regional_data,8,FALSE)</f>
        <v>0</v>
      </c>
      <c r="D140" s="46">
        <f>'Intermediate calcs'!D193*VLOOKUP(IF(ISBLANK($A140),$B140,$A140),Radionuclide_specific,8,FALSE)*VLOOKUP($B$115,Other_regional_data,5,FALSE)*VLOOKUP($B$115,Interim_regional_data,6,FALSE)*VLOOKUP($B$115,Other_regional_data,9,FALSE)</f>
        <v>4.8155614174259345E-5</v>
      </c>
      <c r="E140" s="47">
        <f t="shared" si="67"/>
        <v>5.7499999999999992E-6</v>
      </c>
      <c r="F140" s="47">
        <f t="shared" si="67"/>
        <v>1.4375E-7</v>
      </c>
      <c r="G140" s="46">
        <f t="shared" si="67"/>
        <v>1.1750313599999999E-3</v>
      </c>
      <c r="H140" s="46">
        <f t="shared" si="67"/>
        <v>1.1750313599999999E-3</v>
      </c>
      <c r="I140" s="47">
        <f t="shared" si="55"/>
        <v>1.1807813599999998E-3</v>
      </c>
      <c r="J140" s="47">
        <f t="shared" si="56"/>
        <v>1.2233307241742591E-3</v>
      </c>
    </row>
    <row r="141" spans="1:10">
      <c r="A141" s="4"/>
      <c r="B141" s="4" t="s">
        <v>108</v>
      </c>
      <c r="C141" s="46">
        <f>'Intermediate calcs'!C194*VLOOKUP(IF(ISBLANK($A141),$B141,$A141),Radionuclide_specific,8,FALSE)*VLOOKUP($B$115,Other_regional_data,5,FALSE)*VLOOKUP($B$115,Interim_regional_data,5,FALSE)*VLOOKUP($B$115,Other_regional_data,8,FALSE)</f>
        <v>0</v>
      </c>
      <c r="D141" s="46">
        <f>'Intermediate calcs'!D194*VLOOKUP(IF(ISBLANK($A141),$B141,$A141),Radionuclide_specific,8,FALSE)*VLOOKUP($B$115,Other_regional_data,5,FALSE)*VLOOKUP($B$115,Interim_regional_data,6,FALSE)*VLOOKUP($B$115,Other_regional_data,9,FALSE)</f>
        <v>0</v>
      </c>
      <c r="E141" s="47">
        <f t="shared" si="67"/>
        <v>1.3437499999999999E-8</v>
      </c>
      <c r="F141" s="47">
        <f t="shared" si="67"/>
        <v>3.3593750000000006E-10</v>
      </c>
      <c r="G141" s="46">
        <f t="shared" si="67"/>
        <v>7.3226592000000011E-7</v>
      </c>
      <c r="H141" s="46">
        <f t="shared" si="67"/>
        <v>7.3226592000000011E-7</v>
      </c>
      <c r="I141" s="47">
        <f t="shared" si="55"/>
        <v>7.4570342000000014E-7</v>
      </c>
      <c r="J141" s="47">
        <f t="shared" si="56"/>
        <v>7.326018575000001E-7</v>
      </c>
    </row>
    <row r="142" spans="1:10">
      <c r="A142" s="4"/>
      <c r="B142" s="4" t="s">
        <v>109</v>
      </c>
      <c r="C142" s="46">
        <f>'Intermediate calcs'!C195*VLOOKUP(IF(ISBLANK($A142),$B142,$A142),Radionuclide_specific,8,FALSE)*VLOOKUP($B$115,Other_regional_data,5,FALSE)*VLOOKUP($B$115,Interim_regional_data,5,FALSE)*VLOOKUP($B$115,Other_regional_data,8,FALSE)</f>
        <v>0</v>
      </c>
      <c r="D142" s="46">
        <f>'Intermediate calcs'!D195*VLOOKUP(IF(ISBLANK($A142),$B142,$A142),Radionuclide_specific,8,FALSE)*VLOOKUP($B$115,Other_regional_data,5,FALSE)*VLOOKUP($B$115,Interim_regional_data,6,FALSE)*VLOOKUP($B$115,Other_regional_data,9,FALSE)</f>
        <v>3.0746169383446105E-7</v>
      </c>
      <c r="E142" s="47">
        <f t="shared" si="67"/>
        <v>8.9999999999999996E-7</v>
      </c>
      <c r="F142" s="47">
        <f t="shared" si="67"/>
        <v>2.25E-8</v>
      </c>
      <c r="G142" s="46">
        <f t="shared" si="67"/>
        <v>6.8117759999999997E-5</v>
      </c>
      <c r="H142" s="46">
        <f t="shared" si="67"/>
        <v>6.8117759999999997E-5</v>
      </c>
      <c r="I142" s="47">
        <f t="shared" si="55"/>
        <v>6.9017759999999992E-5</v>
      </c>
      <c r="J142" s="47">
        <f t="shared" si="56"/>
        <v>6.8447721693834458E-5</v>
      </c>
    </row>
    <row r="143" spans="1:10">
      <c r="A143" s="4"/>
      <c r="B143" s="4" t="s">
        <v>110</v>
      </c>
      <c r="C143" s="46">
        <f>'Intermediate calcs'!C196*VLOOKUP(IF(ISBLANK($A143),$B143,$A143),Radionuclide_specific,8,FALSE)*VLOOKUP($B$115,Other_regional_data,5,FALSE)*VLOOKUP($B$115,Interim_regional_data,5,FALSE)*VLOOKUP($B$115,Other_regional_data,8,FALSE)</f>
        <v>0</v>
      </c>
      <c r="D143" s="46">
        <f>'Intermediate calcs'!D196*VLOOKUP(IF(ISBLANK($A143),$B143,$A143),Radionuclide_specific,8,FALSE)*VLOOKUP($B$115,Other_regional_data,5,FALSE)*VLOOKUP($B$115,Interim_regional_data,6,FALSE)*VLOOKUP($B$115,Other_regional_data,9,FALSE)</f>
        <v>7.7917064824342604E-10</v>
      </c>
      <c r="E143" s="47">
        <f t="shared" si="67"/>
        <v>3.1249999999999992E-7</v>
      </c>
      <c r="F143" s="47">
        <f t="shared" si="67"/>
        <v>7.8125000000000013E-9</v>
      </c>
      <c r="G143" s="46">
        <f t="shared" si="67"/>
        <v>1.0217664E-5</v>
      </c>
      <c r="H143" s="46">
        <f t="shared" si="67"/>
        <v>1.0217664E-5</v>
      </c>
      <c r="I143" s="47">
        <f t="shared" si="55"/>
        <v>1.0530163999999999E-5</v>
      </c>
      <c r="J143" s="47">
        <f t="shared" si="56"/>
        <v>1.0226255670648244E-5</v>
      </c>
    </row>
    <row r="144" spans="1:10">
      <c r="A144" s="4" t="s">
        <v>111</v>
      </c>
      <c r="B144" s="4"/>
      <c r="C144" s="46">
        <f>'Intermediate calcs'!C197*VLOOKUP(IF(ISBLANK($A144),$B144,$A144),Radionuclide_specific,8,FALSE)*VLOOKUP($B$115,Other_regional_data,5,FALSE)*VLOOKUP($B$115,Interim_regional_data,5,FALSE)*VLOOKUP($B$115,Other_regional_data,8,FALSE)</f>
        <v>0</v>
      </c>
      <c r="D144" s="46">
        <f>'Intermediate calcs'!D197*VLOOKUP(IF(ISBLANK($A144),$B144,$A144),Radionuclide_specific,8,FALSE)*VLOOKUP($B$115,Other_regional_data,5,FALSE)*VLOOKUP($B$115,Interim_regional_data,6,FALSE)*VLOOKUP($B$115,Other_regional_data,9,FALSE)</f>
        <v>2.1705240430208483E-6</v>
      </c>
      <c r="E144" s="47">
        <f t="shared" si="67"/>
        <v>4.6993006993006993E-7</v>
      </c>
      <c r="F144" s="47">
        <f t="shared" si="67"/>
        <v>2.294634146341464E-7</v>
      </c>
      <c r="G144" s="46">
        <f t="shared" si="67"/>
        <v>4.6357919999999993E-5</v>
      </c>
      <c r="H144" s="46">
        <f t="shared" si="67"/>
        <v>4.6357919999999993E-5</v>
      </c>
      <c r="I144" s="47">
        <f t="shared" ref="I144" si="70">C144+E144+G144</f>
        <v>4.682785006993006E-5</v>
      </c>
      <c r="J144" s="47">
        <f t="shared" ref="J144" si="71">D144+F144+H144</f>
        <v>4.8757907457654987E-5</v>
      </c>
    </row>
    <row r="145" spans="1:10">
      <c r="A145" s="4" t="s">
        <v>30</v>
      </c>
      <c r="B145" s="4"/>
      <c r="C145" s="46">
        <f>'Intermediate calcs'!C198*VLOOKUP(IF(ISBLANK($A145),$B145,$A145),Radionuclide_specific,8,FALSE)*VLOOKUP($B$115,Other_regional_data,5,FALSE)*VLOOKUP($B$115,Interim_regional_data,5,FALSE)*VLOOKUP($B$115,Other_regional_data,8,FALSE)</f>
        <v>0</v>
      </c>
      <c r="D145" s="46">
        <f>'Intermediate calcs'!D198*VLOOKUP(IF(ISBLANK($A145),$B145,$A145),Radionuclide_specific,8,FALSE)*VLOOKUP($B$115,Other_regional_data,5,FALSE)*VLOOKUP($B$115,Interim_regional_data,6,FALSE)*VLOOKUP($B$115,Other_regional_data,9,FALSE)</f>
        <v>1.9933384068558813E-6</v>
      </c>
      <c r="E145" s="47">
        <f t="shared" si="67"/>
        <v>4.315684315684316E-7</v>
      </c>
      <c r="F145" s="47">
        <f t="shared" si="67"/>
        <v>2.1073170731707321E-7</v>
      </c>
      <c r="G145" s="46">
        <f t="shared" si="67"/>
        <v>4.2573600000000002E-5</v>
      </c>
      <c r="H145" s="46">
        <f t="shared" si="67"/>
        <v>4.2573600000000002E-5</v>
      </c>
      <c r="I145" s="47">
        <f t="shared" si="55"/>
        <v>4.3005168431568435E-5</v>
      </c>
      <c r="J145" s="47">
        <f t="shared" si="56"/>
        <v>4.4777670114172955E-5</v>
      </c>
    </row>
    <row r="146" spans="1:10">
      <c r="A146" s="4"/>
      <c r="B146" s="4" t="s">
        <v>31</v>
      </c>
      <c r="C146" s="46">
        <f>'Intermediate calcs'!C199*VLOOKUP(IF(ISBLANK($A146),$B146,$A146),Radionuclide_specific,8,FALSE)*VLOOKUP($B$115,Other_regional_data,5,FALSE)*VLOOKUP($B$115,Interim_regional_data,5,FALSE)*VLOOKUP($B$115,Other_regional_data,8,FALSE)</f>
        <v>0</v>
      </c>
      <c r="D146" s="46">
        <f>'Intermediate calcs'!D199*VLOOKUP(IF(ISBLANK($A146),$B146,$A146),Radionuclide_specific,8,FALSE)*VLOOKUP($B$115,Other_regional_data,5,FALSE)*VLOOKUP($B$115,Interim_regional_data,6,FALSE)*VLOOKUP($B$115,Other_regional_data,9,FALSE)</f>
        <v>9.1285657337149031E-9</v>
      </c>
      <c r="E146" s="47">
        <f t="shared" si="67"/>
        <v>2.0379620379620385E-7</v>
      </c>
      <c r="F146" s="47">
        <f t="shared" si="67"/>
        <v>9.9512195121951228E-8</v>
      </c>
      <c r="G146" s="46">
        <f t="shared" si="67"/>
        <v>3.2166719999999997E-6</v>
      </c>
      <c r="H146" s="46">
        <f t="shared" si="67"/>
        <v>3.2166719999999997E-6</v>
      </c>
      <c r="I146" s="47">
        <f t="shared" si="55"/>
        <v>3.4204682037962034E-6</v>
      </c>
      <c r="J146" s="47">
        <f t="shared" si="56"/>
        <v>3.3253127608556658E-6</v>
      </c>
    </row>
    <row r="147" spans="1:10">
      <c r="A147" s="4"/>
      <c r="B147" s="4" t="s">
        <v>32</v>
      </c>
      <c r="C147" s="46">
        <f>'Intermediate calcs'!C200*VLOOKUP(IF(ISBLANK($A147),$B147,$A147),Radionuclide_specific,8,FALSE)*VLOOKUP($B$115,Other_regional_data,5,FALSE)*VLOOKUP($B$115,Interim_regional_data,5,FALSE)*VLOOKUP($B$115,Other_regional_data,8,FALSE)</f>
        <v>0</v>
      </c>
      <c r="D147" s="46">
        <f>'Intermediate calcs'!D200*VLOOKUP(IF(ISBLANK($A147),$B147,$A147),Radionuclide_specific,8,FALSE)*VLOOKUP($B$115,Other_regional_data,5,FALSE)*VLOOKUP($B$115,Interim_regional_data,6,FALSE)*VLOOKUP($B$115,Other_regional_data,9,FALSE)</f>
        <v>0</v>
      </c>
      <c r="E147" s="47">
        <f t="shared" si="67"/>
        <v>0</v>
      </c>
      <c r="F147" s="47">
        <f t="shared" si="67"/>
        <v>0</v>
      </c>
      <c r="G147" s="46">
        <f t="shared" si="67"/>
        <v>0</v>
      </c>
      <c r="H147" s="46">
        <f t="shared" si="67"/>
        <v>0</v>
      </c>
      <c r="I147" s="47">
        <f t="shared" si="55"/>
        <v>0</v>
      </c>
      <c r="J147" s="47">
        <f t="shared" si="56"/>
        <v>0</v>
      </c>
    </row>
    <row r="148" spans="1:10" s="114" customFormat="1">
      <c r="A148" s="88" t="s">
        <v>13</v>
      </c>
      <c r="B148" s="91"/>
      <c r="C148" s="89">
        <f>'Intermediate calcs'!C201*VLOOKUP(IF(ISBLANK($A148),$B148,$A148),Radionuclide_specific,8,FALSE)*VLOOKUP($B$115,Other_regional_data,5,FALSE)*VLOOKUP($B$115,Interim_regional_data,5,FALSE)*VLOOKUP($B$115,Other_regional_data,8,FALSE)</f>
        <v>0</v>
      </c>
      <c r="D148" s="89">
        <f>'Intermediate calcs'!D201*VLOOKUP(IF(ISBLANK($A148),$B148,$A148),Radionuclide_specific,8,FALSE)*VLOOKUP($B$115,Other_regional_data,5,FALSE)*VLOOKUP($B$115,Interim_regional_data,6,FALSE)*VLOOKUP($B$115,Other_regional_data,9,FALSE)</f>
        <v>2.0714148112810915E-6</v>
      </c>
      <c r="E148" s="90">
        <f t="shared" si="67"/>
        <v>1.293103448275862E-5</v>
      </c>
      <c r="F148" s="90">
        <f t="shared" si="67"/>
        <v>3.0991735537190077E-7</v>
      </c>
      <c r="G148" s="89">
        <f t="shared" si="67"/>
        <v>2.1286800000000001E-4</v>
      </c>
      <c r="H148" s="89">
        <f t="shared" si="67"/>
        <v>2.1286800000000001E-4</v>
      </c>
      <c r="I148" s="90">
        <f t="shared" si="55"/>
        <v>2.2579903448275863E-4</v>
      </c>
      <c r="J148" s="90">
        <f t="shared" si="56"/>
        <v>2.15249332166653E-4</v>
      </c>
    </row>
    <row r="149" spans="1:10">
      <c r="A149" t="s">
        <v>18</v>
      </c>
      <c r="C149" s="46">
        <f>'Intermediate calcs'!C202*VLOOKUP(IF(ISBLANK($A149),$B149,$A149),Radionuclide_specific,8,FALSE)*VLOOKUP($B$115,Other_regional_data,5,FALSE)*VLOOKUP($B$115,Interim_regional_data,5,FALSE)*VLOOKUP($B$115,Other_regional_data,8,FALSE)</f>
        <v>0</v>
      </c>
      <c r="D149" s="46">
        <f>'Intermediate calcs'!D202*VLOOKUP(IF(ISBLANK($A149),$B149,$A149),Radionuclide_specific,8,FALSE)*VLOOKUP($B$115,Other_regional_data,5,FALSE)*VLOOKUP($B$115,Interim_regional_data,6,FALSE)*VLOOKUP($B$115,Other_regional_data,9,FALSE)</f>
        <v>2.0714148112810915E-6</v>
      </c>
      <c r="E149" s="47">
        <f t="shared" si="67"/>
        <v>1.293103448275862E-5</v>
      </c>
      <c r="F149" s="47">
        <f t="shared" si="67"/>
        <v>3.0991735537190077E-7</v>
      </c>
      <c r="G149" s="46">
        <f t="shared" si="67"/>
        <v>2.1286800000000001E-4</v>
      </c>
      <c r="H149" s="46">
        <f t="shared" si="67"/>
        <v>2.1286800000000001E-4</v>
      </c>
      <c r="I149" s="47">
        <f t="shared" si="55"/>
        <v>2.2579903448275863E-4</v>
      </c>
      <c r="J149" s="47">
        <f t="shared" si="56"/>
        <v>2.15249332166653E-4</v>
      </c>
    </row>
    <row r="150" spans="1:10" ht="11.25" customHeight="1">
      <c r="A150" t="s">
        <v>9</v>
      </c>
      <c r="C150" s="46">
        <f>'Intermediate calcs'!C203*VLOOKUP(IF(ISBLANK($A150),$B150,$A150),Radionuclide_specific,8,FALSE)*VLOOKUP($B$115,Other_regional_data,5,FALSE)*VLOOKUP($B$115,Interim_regional_data,5,FALSE)*VLOOKUP($B$115,Other_regional_data,8,FALSE)</f>
        <v>0</v>
      </c>
      <c r="D150" s="46">
        <f>'Intermediate calcs'!D203*VLOOKUP(IF(ISBLANK($A150),$B150,$A150),Radionuclide_specific,8,FALSE)*VLOOKUP($B$115,Other_regional_data,5,FALSE)*VLOOKUP($B$115,Interim_regional_data,6,FALSE)*VLOOKUP($B$115,Other_regional_data,9,FALSE)</f>
        <v>2.3582260928430887E-6</v>
      </c>
      <c r="E150" s="47">
        <f t="shared" si="67"/>
        <v>1.4117647058823528E-4</v>
      </c>
      <c r="F150" s="47">
        <f t="shared" si="67"/>
        <v>3.934426229508197E-6</v>
      </c>
      <c r="G150" s="46">
        <f t="shared" si="67"/>
        <v>1.7029440000000001E-4</v>
      </c>
      <c r="H150" s="46">
        <f t="shared" si="67"/>
        <v>1.7029440000000001E-4</v>
      </c>
      <c r="I150" s="47">
        <f t="shared" si="55"/>
        <v>3.1147087058823529E-4</v>
      </c>
      <c r="J150" s="47">
        <f t="shared" si="56"/>
        <v>1.7658705232235128E-4</v>
      </c>
    </row>
    <row r="152" spans="1:10" s="115" customFormat="1" ht="25.5" customHeight="1">
      <c r="A152" s="44" t="s">
        <v>297</v>
      </c>
      <c r="B152" s="72" t="s">
        <v>58</v>
      </c>
      <c r="C152" s="134" t="s">
        <v>153</v>
      </c>
      <c r="D152" s="134"/>
      <c r="E152" s="134" t="s">
        <v>154</v>
      </c>
      <c r="F152" s="134"/>
      <c r="G152" s="134"/>
      <c r="H152" s="134"/>
      <c r="I152" s="134" t="s">
        <v>64</v>
      </c>
      <c r="J152" s="134"/>
    </row>
    <row r="153" spans="1:10">
      <c r="A153" s="129" t="s">
        <v>149</v>
      </c>
      <c r="B153" s="129" t="s">
        <v>150</v>
      </c>
      <c r="C153" s="131" t="s">
        <v>193</v>
      </c>
      <c r="D153" s="131"/>
      <c r="E153" s="132" t="s">
        <v>184</v>
      </c>
      <c r="F153" s="132"/>
      <c r="G153" s="131" t="s">
        <v>185</v>
      </c>
      <c r="H153" s="131"/>
      <c r="I153" s="132" t="s">
        <v>194</v>
      </c>
      <c r="J153" s="132"/>
    </row>
    <row r="154" spans="1:10">
      <c r="A154" s="129"/>
      <c r="B154" s="129"/>
      <c r="C154" s="70" t="s">
        <v>73</v>
      </c>
      <c r="D154" s="70" t="s">
        <v>74</v>
      </c>
      <c r="E154" s="69" t="s">
        <v>73</v>
      </c>
      <c r="F154" s="69" t="s">
        <v>74</v>
      </c>
      <c r="G154" s="70" t="s">
        <v>73</v>
      </c>
      <c r="H154" s="70" t="s">
        <v>74</v>
      </c>
      <c r="I154" s="71" t="s">
        <v>73</v>
      </c>
      <c r="J154" s="71" t="s">
        <v>74</v>
      </c>
    </row>
    <row r="155" spans="1:10">
      <c r="A155" s="4" t="s">
        <v>33</v>
      </c>
      <c r="B155" s="4"/>
      <c r="C155" s="46">
        <f>'Intermediate calcs'!C208*VLOOKUP(IF(ISBLANK($A155),$B155,$A155),Radionuclide_specific,8,FALSE)*VLOOKUP($B$152,Other_regional_data,5,FALSE)*VLOOKUP($B$152,Interim_regional_data,5,FALSE)*VLOOKUP($B$152,Other_regional_data,8,FALSE)</f>
        <v>0</v>
      </c>
      <c r="D155" s="46">
        <f>'Intermediate calcs'!D208*VLOOKUP(IF(ISBLANK($A155),$B155,$A155),Radionuclide_specific,8,FALSE)*VLOOKUP($B$152,Other_regional_data,5,FALSE)*VLOOKUP($B$152,Interim_regional_data,6,FALSE)*VLOOKUP($B$152,Other_regional_data,9,FALSE)</f>
        <v>1.5527026323506627E-10</v>
      </c>
      <c r="E155" s="47">
        <f t="shared" ref="E155:H174" si="72">E118</f>
        <v>1.404E-10</v>
      </c>
      <c r="F155" s="47">
        <f t="shared" si="72"/>
        <v>7.0199999999999988E-11</v>
      </c>
      <c r="G155" s="46">
        <f t="shared" si="72"/>
        <v>5.6764799999999995E-8</v>
      </c>
      <c r="H155" s="46">
        <f t="shared" si="72"/>
        <v>5.6764799999999995E-8</v>
      </c>
      <c r="I155" s="47">
        <f>C155+E155+G155</f>
        <v>5.6905199999999997E-8</v>
      </c>
      <c r="J155" s="47">
        <f>D155+F155+H155</f>
        <v>5.6990270263235059E-8</v>
      </c>
    </row>
    <row r="156" spans="1:10">
      <c r="A156" s="4"/>
      <c r="B156" s="4" t="s">
        <v>43</v>
      </c>
      <c r="C156" s="46">
        <f>'Intermediate calcs'!C209*VLOOKUP(IF(ISBLANK($A156),$B156,$A156),Radionuclide_specific,8,FALSE)*VLOOKUP($B$152,Other_regional_data,5,FALSE)*VLOOKUP($B$152,Interim_regional_data,5,FALSE)*VLOOKUP($B$152,Other_regional_data,8,FALSE)</f>
        <v>0</v>
      </c>
      <c r="D156" s="46">
        <f>'Intermediate calcs'!D209*VLOOKUP(IF(ISBLANK($A156),$B156,$A156),Radionuclide_specific,8,FALSE)*VLOOKUP($B$152,Other_regional_data,5,FALSE)*VLOOKUP($B$152,Interim_regional_data,6,FALSE)*VLOOKUP($B$152,Other_regional_data,9,FALSE)</f>
        <v>8.0343045008352728E-10</v>
      </c>
      <c r="E156" s="47">
        <f t="shared" si="72"/>
        <v>3.9639599999999992E-14</v>
      </c>
      <c r="F156" s="47">
        <f t="shared" si="72"/>
        <v>1.9819799999999996E-14</v>
      </c>
      <c r="G156" s="46">
        <f t="shared" si="72"/>
        <v>1.3245119999999998E-7</v>
      </c>
      <c r="H156" s="46">
        <f t="shared" si="72"/>
        <v>1.3245119999999998E-7</v>
      </c>
      <c r="I156" s="47">
        <f t="shared" ref="I156:I187" si="73">C156+E156+G156</f>
        <v>1.3245123963959997E-7</v>
      </c>
      <c r="J156" s="47">
        <f t="shared" ref="J156:J187" si="74">D156+F156+H156</f>
        <v>1.332546502698835E-7</v>
      </c>
    </row>
    <row r="157" spans="1:10" s="114" customFormat="1">
      <c r="A157" s="88" t="s">
        <v>10</v>
      </c>
      <c r="B157" s="88"/>
      <c r="C157" s="89">
        <f>'Intermediate calcs'!C210*VLOOKUP(IF(ISBLANK($A157),$B157,$A157),Radionuclide_specific,8,FALSE)*VLOOKUP($B$152,Other_regional_data,5,FALSE)*VLOOKUP($B$152,Interim_regional_data,5,FALSE)*VLOOKUP($B$152,Other_regional_data,8,FALSE)</f>
        <v>0</v>
      </c>
      <c r="D157" s="89">
        <f>'Intermediate calcs'!D210*VLOOKUP(IF(ISBLANK($A157),$B157,$A157),Radionuclide_specific,8,FALSE)*VLOOKUP($B$152,Other_regional_data,5,FALSE)*VLOOKUP($B$152,Interim_regional_data,6,FALSE)*VLOOKUP($B$152,Other_regional_data,9,FALSE)</f>
        <v>1.6214423255368549E-5</v>
      </c>
      <c r="E157" s="90">
        <f t="shared" si="72"/>
        <v>2.3197680231976806E-3</v>
      </c>
      <c r="F157" s="90">
        <f t="shared" si="72"/>
        <v>1.1571072319201997E-3</v>
      </c>
      <c r="G157" s="89">
        <f t="shared" si="72"/>
        <v>1.8290879999999999E-6</v>
      </c>
      <c r="H157" s="89">
        <f t="shared" si="72"/>
        <v>1.8290879999999999E-6</v>
      </c>
      <c r="I157" s="90">
        <f t="shared" si="73"/>
        <v>2.3215971111976807E-3</v>
      </c>
      <c r="J157" s="90">
        <f t="shared" si="74"/>
        <v>1.1751507431755682E-3</v>
      </c>
    </row>
    <row r="158" spans="1:10" s="114" customFormat="1">
      <c r="A158" s="88" t="s">
        <v>240</v>
      </c>
      <c r="B158" s="88"/>
      <c r="C158" s="46">
        <f>'Intermediate calcs'!C211*VLOOKUP(IF(ISBLANK($A158),$B158,$A158),Radionuclide_specific,8,FALSE)*VLOOKUP($B$152,Other_regional_data,5,FALSE)*VLOOKUP($B$152,Interim_regional_data,5,FALSE)*VLOOKUP($B$152,Other_regional_data,8,FALSE)</f>
        <v>0</v>
      </c>
      <c r="D158" s="46">
        <f>'Intermediate calcs'!D211*VLOOKUP(IF(ISBLANK($A158),$B158,$A158),Radionuclide_specific,8,FALSE)*VLOOKUP($B$152,Other_regional_data,5,FALSE)*VLOOKUP($B$152,Interim_regional_data,6,FALSE)*VLOOKUP($B$152,Other_regional_data,9,FALSE)</f>
        <v>1.0484492078240829E-6</v>
      </c>
      <c r="E158" s="47">
        <f t="shared" si="72"/>
        <v>6.1354581673306769E-6</v>
      </c>
      <c r="F158" s="47">
        <f t="shared" si="72"/>
        <v>2.8000000000000003E-6</v>
      </c>
      <c r="G158" s="46">
        <f t="shared" si="72"/>
        <v>1.3112668800000002E-6</v>
      </c>
      <c r="H158" s="46">
        <f t="shared" si="72"/>
        <v>1.3112668800000002E-6</v>
      </c>
      <c r="I158" s="47">
        <f t="shared" si="73"/>
        <v>7.4467250473306775E-6</v>
      </c>
      <c r="J158" s="47">
        <f t="shared" si="74"/>
        <v>5.1597160878240838E-6</v>
      </c>
    </row>
    <row r="159" spans="1:10" s="114" customFormat="1">
      <c r="A159" s="88" t="s">
        <v>237</v>
      </c>
      <c r="B159" s="88"/>
      <c r="C159" s="46">
        <f>'Intermediate calcs'!C212*VLOOKUP(IF(ISBLANK($A159),$B159,$A159),Radionuclide_specific,8,FALSE)*VLOOKUP($B$152,Other_regional_data,5,FALSE)*VLOOKUP($B$152,Interim_regional_data,5,FALSE)*VLOOKUP($B$152,Other_regional_data,8,FALSE)</f>
        <v>0</v>
      </c>
      <c r="D159" s="46">
        <f>'Intermediate calcs'!D212*VLOOKUP(IF(ISBLANK($A159),$B159,$A159),Radionuclide_specific,8,FALSE)*VLOOKUP($B$152,Other_regional_data,5,FALSE)*VLOOKUP($B$152,Interim_regional_data,6,FALSE)*VLOOKUP($B$152,Other_regional_data,9,FALSE)</f>
        <v>2.2341557890480663E-7</v>
      </c>
      <c r="E159" s="47">
        <f t="shared" si="72"/>
        <v>6.6046511627906978E-7</v>
      </c>
      <c r="F159" s="47">
        <f t="shared" si="72"/>
        <v>2.1037037037037039E-8</v>
      </c>
      <c r="G159" s="46">
        <f t="shared" si="72"/>
        <v>8.060601599999999E-7</v>
      </c>
      <c r="H159" s="46">
        <f t="shared" si="72"/>
        <v>8.060601599999999E-7</v>
      </c>
      <c r="I159" s="47">
        <f t="shared" ref="I159" si="75">C159+E159+G159</f>
        <v>1.4665252762790697E-6</v>
      </c>
      <c r="J159" s="47">
        <f t="shared" ref="J159" si="76">D159+F159+H159</f>
        <v>1.0505127759418437E-6</v>
      </c>
    </row>
    <row r="160" spans="1:10" s="114" customFormat="1">
      <c r="A160" s="88" t="s">
        <v>236</v>
      </c>
      <c r="B160" s="88"/>
      <c r="C160" s="46">
        <f>'Intermediate calcs'!C213*VLOOKUP(IF(ISBLANK($A160),$B160,$A160),Radionuclide_specific,8,FALSE)*VLOOKUP($B$152,Other_regional_data,5,FALSE)*VLOOKUP($B$152,Interim_regional_data,5,FALSE)*VLOOKUP($B$152,Other_regional_data,8,FALSE)</f>
        <v>0</v>
      </c>
      <c r="D160" s="46">
        <f>'Intermediate calcs'!D213*VLOOKUP(IF(ISBLANK($A160),$B160,$A160),Radionuclide_specific,8,FALSE)*VLOOKUP($B$152,Other_regional_data,5,FALSE)*VLOOKUP($B$152,Interim_regional_data,6,FALSE)*VLOOKUP($B$152,Other_regional_data,9,FALSE)</f>
        <v>1.4371139031934296E-7</v>
      </c>
      <c r="E160" s="47">
        <f t="shared" si="72"/>
        <v>2.9914893617021279E-7</v>
      </c>
      <c r="F160" s="47">
        <f t="shared" si="72"/>
        <v>1.222608695652174E-8</v>
      </c>
      <c r="G160" s="46">
        <f t="shared" si="72"/>
        <v>1.2601785600000002E-6</v>
      </c>
      <c r="H160" s="46">
        <f t="shared" si="72"/>
        <v>1.2601785600000002E-6</v>
      </c>
      <c r="I160" s="47">
        <f t="shared" ref="I160" si="77">C160+E160+G160</f>
        <v>1.559327496170213E-6</v>
      </c>
      <c r="J160" s="47">
        <f t="shared" ref="J160" si="78">D160+F160+H160</f>
        <v>1.4161160372758648E-6</v>
      </c>
    </row>
    <row r="161" spans="1:10">
      <c r="A161" s="4" t="s">
        <v>11</v>
      </c>
      <c r="B161" s="4"/>
      <c r="C161" s="46">
        <f>'Intermediate calcs'!C214*VLOOKUP(IF(ISBLANK($A161),$B161,$A161),Radionuclide_specific,8,FALSE)*VLOOKUP($B$152,Other_regional_data,5,FALSE)*VLOOKUP($B$152,Interim_regional_data,5,FALSE)*VLOOKUP($B$152,Other_regional_data,8,FALSE)</f>
        <v>0</v>
      </c>
      <c r="D161" s="46">
        <f>'Intermediate calcs'!D214*VLOOKUP(IF(ISBLANK($A161),$B161,$A161),Radionuclide_specific,8,FALSE)*VLOOKUP($B$152,Other_regional_data,5,FALSE)*VLOOKUP($B$152,Interim_regional_data,6,FALSE)*VLOOKUP($B$152,Other_regional_data,9,FALSE)</f>
        <v>1.3156265258862831E-6</v>
      </c>
      <c r="E161" s="47">
        <f t="shared" si="72"/>
        <v>1.3744680851063828E-6</v>
      </c>
      <c r="F161" s="47">
        <f t="shared" si="72"/>
        <v>5.6173913043478253E-8</v>
      </c>
      <c r="G161" s="46">
        <f t="shared" si="72"/>
        <v>5.7900096000000006E-6</v>
      </c>
      <c r="H161" s="46">
        <f t="shared" si="72"/>
        <v>5.7900096000000006E-6</v>
      </c>
      <c r="I161" s="47">
        <f t="shared" si="73"/>
        <v>7.1644776851063831E-6</v>
      </c>
      <c r="J161" s="47">
        <f t="shared" si="74"/>
        <v>7.1618100389297618E-6</v>
      </c>
    </row>
    <row r="162" spans="1:10" s="114" customFormat="1">
      <c r="A162" s="88" t="s">
        <v>178</v>
      </c>
      <c r="B162" s="88"/>
      <c r="C162" s="89">
        <f>'Intermediate calcs'!C215*VLOOKUP(IF(ISBLANK($A162),$B162,$A162),Radionuclide_specific,8,FALSE)*VLOOKUP($B$152,Other_regional_data,5,FALSE)*VLOOKUP($B$152,Interim_regional_data,5,FALSE)*VLOOKUP($B$152,Other_regional_data,8,FALSE)</f>
        <v>0</v>
      </c>
      <c r="D162" s="89">
        <f>'Intermediate calcs'!D215*VLOOKUP(IF(ISBLANK($A162),$B162,$A162),Radionuclide_specific,8,FALSE)*VLOOKUP($B$152,Other_regional_data,5,FALSE)*VLOOKUP($B$152,Interim_regional_data,6,FALSE)*VLOOKUP($B$152,Other_regional_data,9,FALSE)</f>
        <v>2.5768611671007979E-6</v>
      </c>
      <c r="E162" s="90">
        <f t="shared" si="72"/>
        <v>1.3128712871287129E-4</v>
      </c>
      <c r="F162" s="90">
        <f t="shared" si="72"/>
        <v>5.3040000000000007E-5</v>
      </c>
      <c r="G162" s="89">
        <f t="shared" si="72"/>
        <v>6.6414816E-6</v>
      </c>
      <c r="H162" s="89">
        <f t="shared" si="72"/>
        <v>6.6414816E-6</v>
      </c>
      <c r="I162" s="90">
        <f t="shared" ref="I162" si="79">C162+E162+G162</f>
        <v>1.3792861031287128E-4</v>
      </c>
      <c r="J162" s="90">
        <f t="shared" ref="J162" si="80">D162+F162+H162</f>
        <v>6.2258342767100808E-5</v>
      </c>
    </row>
    <row r="163" spans="1:10">
      <c r="A163" s="4" t="s">
        <v>17</v>
      </c>
      <c r="B163" s="4"/>
      <c r="C163" s="46">
        <f>'Intermediate calcs'!C216*VLOOKUP(IF(ISBLANK($A163),$B163,$A163),Radionuclide_specific,8,FALSE)*VLOOKUP($B$152,Other_regional_data,5,FALSE)*VLOOKUP($B$152,Interim_regional_data,5,FALSE)*VLOOKUP($B$152,Other_regional_data,8,FALSE)</f>
        <v>0</v>
      </c>
      <c r="D163" s="46">
        <f>'Intermediate calcs'!D216*VLOOKUP(IF(ISBLANK($A163),$B163,$A163),Radionuclide_specific,8,FALSE)*VLOOKUP($B$152,Other_regional_data,5,FALSE)*VLOOKUP($B$152,Interim_regional_data,6,FALSE)*VLOOKUP($B$152,Other_regional_data,9,FALSE)</f>
        <v>7.2468972785500818E-5</v>
      </c>
      <c r="E163" s="47">
        <f t="shared" si="72"/>
        <v>7.929687499999999E-7</v>
      </c>
      <c r="F163" s="47">
        <f t="shared" si="72"/>
        <v>2.5374999999999995E-7</v>
      </c>
      <c r="G163" s="46">
        <f t="shared" si="72"/>
        <v>7.1523647999999999E-5</v>
      </c>
      <c r="H163" s="46">
        <f t="shared" si="72"/>
        <v>7.1523647999999999E-5</v>
      </c>
      <c r="I163" s="47">
        <f t="shared" si="73"/>
        <v>7.2316616749999992E-5</v>
      </c>
      <c r="J163" s="47">
        <f t="shared" si="74"/>
        <v>1.4424637078550083E-4</v>
      </c>
    </row>
    <row r="164" spans="1:10">
      <c r="A164" s="4"/>
      <c r="B164" s="4" t="s">
        <v>105</v>
      </c>
      <c r="C164" s="46">
        <f>'Intermediate calcs'!C217*VLOOKUP(IF(ISBLANK($A164),$B164,$A164),Radionuclide_specific,8,FALSE)*VLOOKUP($B$152,Other_regional_data,5,FALSE)*VLOOKUP($B$152,Interim_regional_data,5,FALSE)*VLOOKUP($B$152,Other_regional_data,8,FALSE)</f>
        <v>0</v>
      </c>
      <c r="D164" s="46">
        <f>'Intermediate calcs'!D217*VLOOKUP(IF(ISBLANK($A164),$B164,$A164),Radionuclide_specific,8,FALSE)*VLOOKUP($B$152,Other_regional_data,5,FALSE)*VLOOKUP($B$152,Interim_regional_data,6,FALSE)*VLOOKUP($B$152,Other_regional_data,9,FALSE)</f>
        <v>0</v>
      </c>
      <c r="E164" s="47">
        <f t="shared" si="72"/>
        <v>0</v>
      </c>
      <c r="F164" s="47">
        <f t="shared" si="72"/>
        <v>0</v>
      </c>
      <c r="G164" s="46">
        <f t="shared" si="72"/>
        <v>0</v>
      </c>
      <c r="H164" s="46">
        <f t="shared" si="72"/>
        <v>0</v>
      </c>
      <c r="I164" s="47">
        <f t="shared" si="73"/>
        <v>0</v>
      </c>
      <c r="J164" s="47">
        <f t="shared" si="74"/>
        <v>0</v>
      </c>
    </row>
    <row r="165" spans="1:10">
      <c r="A165" s="4" t="s">
        <v>66</v>
      </c>
      <c r="B165" s="4"/>
      <c r="C165" s="46">
        <f>'Intermediate calcs'!C218*VLOOKUP(IF(ISBLANK($A165),$B165,$A165),Radionuclide_specific,8,FALSE)*VLOOKUP($B$152,Other_regional_data,5,FALSE)*VLOOKUP($B$152,Interim_regional_data,5,FALSE)*VLOOKUP($B$152,Other_regional_data,8,FALSE)</f>
        <v>0</v>
      </c>
      <c r="D165" s="46">
        <f>'Intermediate calcs'!D218*VLOOKUP(IF(ISBLANK($A165),$B165,$A165),Radionuclide_specific,8,FALSE)*VLOOKUP($B$152,Other_regional_data,5,FALSE)*VLOOKUP($B$152,Interim_regional_data,6,FALSE)*VLOOKUP($B$152,Other_regional_data,9,FALSE)</f>
        <v>2.4991063252545764E-7</v>
      </c>
      <c r="E165" s="47">
        <f t="shared" si="72"/>
        <v>2.3475609756097559E-6</v>
      </c>
      <c r="F165" s="47">
        <f t="shared" si="72"/>
        <v>1.1323529411764707E-7</v>
      </c>
      <c r="G165" s="46">
        <f t="shared" si="72"/>
        <v>1.1920607999999999E-5</v>
      </c>
      <c r="H165" s="46">
        <f t="shared" si="72"/>
        <v>1.1920607999999999E-5</v>
      </c>
      <c r="I165" s="47">
        <f t="shared" si="73"/>
        <v>1.4268168975609756E-5</v>
      </c>
      <c r="J165" s="47">
        <f t="shared" si="74"/>
        <v>1.2283753926643105E-5</v>
      </c>
    </row>
    <row r="166" spans="1:10">
      <c r="A166" s="4"/>
      <c r="B166" s="4" t="s">
        <v>106</v>
      </c>
      <c r="C166" s="46">
        <f>'Intermediate calcs'!C219*VLOOKUP(IF(ISBLANK($A166),$B166,$A166),Radionuclide_specific,8,FALSE)*VLOOKUP($B$152,Other_regional_data,5,FALSE)*VLOOKUP($B$152,Interim_regional_data,5,FALSE)*VLOOKUP($B$152,Other_regional_data,8,FALSE)</f>
        <v>0</v>
      </c>
      <c r="D166" s="46">
        <f>'Intermediate calcs'!D219*VLOOKUP(IF(ISBLANK($A166),$B166,$A166),Radionuclide_specific,8,FALSE)*VLOOKUP($B$152,Other_regional_data,5,FALSE)*VLOOKUP($B$152,Interim_regional_data,6,FALSE)*VLOOKUP($B$152,Other_regional_data,9,FALSE)</f>
        <v>0</v>
      </c>
      <c r="E166" s="47">
        <f t="shared" si="72"/>
        <v>0</v>
      </c>
      <c r="F166" s="47">
        <f t="shared" si="72"/>
        <v>0</v>
      </c>
      <c r="G166" s="46">
        <f t="shared" si="72"/>
        <v>0</v>
      </c>
      <c r="H166" s="46">
        <f t="shared" si="72"/>
        <v>0</v>
      </c>
      <c r="I166" s="47">
        <f t="shared" si="73"/>
        <v>0</v>
      </c>
      <c r="J166" s="47">
        <f t="shared" si="74"/>
        <v>0</v>
      </c>
    </row>
    <row r="167" spans="1:10">
      <c r="A167" s="4" t="s">
        <v>67</v>
      </c>
      <c r="B167" s="4"/>
      <c r="C167" s="46">
        <f>'Intermediate calcs'!C220*VLOOKUP(IF(ISBLANK($A167),$B167,$A167),Radionuclide_specific,8,FALSE)*VLOOKUP($B$152,Other_regional_data,5,FALSE)*VLOOKUP($B$152,Interim_regional_data,5,FALSE)*VLOOKUP($B$152,Other_regional_data,8,FALSE)</f>
        <v>0</v>
      </c>
      <c r="D167" s="46">
        <f>'Intermediate calcs'!D220*VLOOKUP(IF(ISBLANK($A167),$B167,$A167),Radionuclide_specific,8,FALSE)*VLOOKUP($B$152,Other_regional_data,5,FALSE)*VLOOKUP($B$152,Interim_regional_data,6,FALSE)*VLOOKUP($B$152,Other_regional_data,9,FALSE)</f>
        <v>2.4213514834083567E-4</v>
      </c>
      <c r="E167" s="47">
        <f t="shared" si="72"/>
        <v>3.0330882352941179E-5</v>
      </c>
      <c r="F167" s="47">
        <f t="shared" si="72"/>
        <v>5.1562499999999991E-6</v>
      </c>
      <c r="G167" s="46">
        <f t="shared" si="72"/>
        <v>2.8098576000000003E-4</v>
      </c>
      <c r="H167" s="46">
        <f t="shared" si="72"/>
        <v>2.8098576000000003E-4</v>
      </c>
      <c r="I167" s="47">
        <f t="shared" si="73"/>
        <v>3.113166423529412E-4</v>
      </c>
      <c r="J167" s="47">
        <f t="shared" si="74"/>
        <v>5.2827715834083563E-4</v>
      </c>
    </row>
    <row r="168" spans="1:10">
      <c r="A168" s="4" t="s">
        <v>239</v>
      </c>
      <c r="B168" s="4"/>
      <c r="C168" s="46">
        <f>'Intermediate calcs'!C221*VLOOKUP(IF(ISBLANK($A168),$B168,$A168),Radionuclide_specific,8,FALSE)*VLOOKUP($B$152,Other_regional_data,5,FALSE)*VLOOKUP($B$152,Interim_regional_data,5,FALSE)*VLOOKUP($B$152,Other_regional_data,8,FALSE)</f>
        <v>0</v>
      </c>
      <c r="D168" s="46">
        <f>'Intermediate calcs'!D221*VLOOKUP(IF(ISBLANK($A168),$B168,$A168),Radionuclide_specific,8,FALSE)*VLOOKUP($B$152,Other_regional_data,5,FALSE)*VLOOKUP($B$152,Interim_regional_data,6,FALSE)*VLOOKUP($B$152,Other_regional_data,9,FALSE)</f>
        <v>3.0809899773807521E-7</v>
      </c>
      <c r="E168" s="47">
        <f t="shared" si="72"/>
        <v>5.5147058823529418E-7</v>
      </c>
      <c r="F168" s="47">
        <f t="shared" si="72"/>
        <v>9.3750000000000002E-8</v>
      </c>
      <c r="G168" s="46">
        <f t="shared" si="72"/>
        <v>5.108832000000001E-6</v>
      </c>
      <c r="H168" s="46">
        <f t="shared" si="72"/>
        <v>5.108832000000001E-6</v>
      </c>
      <c r="I168" s="47">
        <f t="shared" ref="I168" si="81">C168+E168+G168</f>
        <v>5.6603025882352951E-6</v>
      </c>
      <c r="J168" s="47">
        <f t="shared" ref="J168" si="82">D168+F168+H168</f>
        <v>5.5106809977380766E-6</v>
      </c>
    </row>
    <row r="169" spans="1:10">
      <c r="A169" s="4" t="s">
        <v>177</v>
      </c>
      <c r="B169" s="4"/>
      <c r="C169" s="46">
        <f>'Intermediate calcs'!C222*VLOOKUP(IF(ISBLANK($A169),$B169,$A169),Radionuclide_specific,8,FALSE)*VLOOKUP($B$152,Other_regional_data,5,FALSE)*VLOOKUP($B$152,Interim_regional_data,5,FALSE)*VLOOKUP($B$152,Other_regional_data,8,FALSE)</f>
        <v>0</v>
      </c>
      <c r="D169" s="46">
        <f>'Intermediate calcs'!D222*VLOOKUP(IF(ISBLANK($A169),$B169,$A169),Radionuclide_specific,8,FALSE)*VLOOKUP($B$152,Other_regional_data,5,FALSE)*VLOOKUP($B$152,Interim_regional_data,6,FALSE)*VLOOKUP($B$152,Other_regional_data,9,FALSE)</f>
        <v>3.4055160543821135E-5</v>
      </c>
      <c r="E169" s="47">
        <f t="shared" si="72"/>
        <v>3.0063291139240513E-4</v>
      </c>
      <c r="F169" s="47">
        <f t="shared" si="72"/>
        <v>1.5322580645161292E-5</v>
      </c>
      <c r="G169" s="46">
        <f t="shared" si="72"/>
        <v>4.8533904000000011E-5</v>
      </c>
      <c r="H169" s="46">
        <f t="shared" si="72"/>
        <v>4.8533904000000011E-5</v>
      </c>
      <c r="I169" s="47">
        <f t="shared" ref="I169" si="83">C169+E169+G169</f>
        <v>3.4916681539240511E-4</v>
      </c>
      <c r="J169" s="47">
        <f t="shared" ref="J169" si="84">D169+F169+H169</f>
        <v>9.7911645188982432E-5</v>
      </c>
    </row>
    <row r="170" spans="1:10">
      <c r="A170" s="4" t="s">
        <v>12</v>
      </c>
      <c r="B170" s="4"/>
      <c r="C170" s="46">
        <f>'Intermediate calcs'!C223*VLOOKUP(IF(ISBLANK($A170),$B170,$A170),Radionuclide_specific,8,FALSE)*VLOOKUP($B$152,Other_regional_data,5,FALSE)*VLOOKUP($B$152,Interim_regional_data,5,FALSE)*VLOOKUP($B$152,Other_regional_data,8,FALSE)</f>
        <v>0</v>
      </c>
      <c r="D170" s="46">
        <f>'Intermediate calcs'!D223*VLOOKUP(IF(ISBLANK($A170),$B170,$A170),Radionuclide_specific,8,FALSE)*VLOOKUP($B$152,Other_regional_data,5,FALSE)*VLOOKUP($B$152,Interim_regional_data,6,FALSE)*VLOOKUP($B$152,Other_regional_data,9,FALSE)</f>
        <v>2.7951587981995755E-5</v>
      </c>
      <c r="E170" s="47">
        <f t="shared" si="72"/>
        <v>2.0569620253164559E-4</v>
      </c>
      <c r="F170" s="47">
        <f t="shared" si="72"/>
        <v>1.0483870967741936E-5</v>
      </c>
      <c r="G170" s="46">
        <f t="shared" si="72"/>
        <v>3.3207408000000005E-5</v>
      </c>
      <c r="H170" s="46">
        <f t="shared" si="72"/>
        <v>3.3207408000000005E-5</v>
      </c>
      <c r="I170" s="47">
        <f t="shared" si="73"/>
        <v>2.3890361053164558E-4</v>
      </c>
      <c r="J170" s="47">
        <f t="shared" si="74"/>
        <v>7.1642866949737696E-5</v>
      </c>
    </row>
    <row r="171" spans="1:10">
      <c r="A171" s="4"/>
      <c r="B171" s="4" t="s">
        <v>107</v>
      </c>
      <c r="C171" s="46">
        <f>'Intermediate calcs'!C224*VLOOKUP(IF(ISBLANK($A171),$B171,$A171),Radionuclide_specific,8,FALSE)*VLOOKUP($B$152,Other_regional_data,5,FALSE)*VLOOKUP($B$152,Interim_regional_data,5,FALSE)*VLOOKUP($B$152,Other_regional_data,8,FALSE)</f>
        <v>0</v>
      </c>
      <c r="D171" s="46">
        <f>'Intermediate calcs'!D224*VLOOKUP(IF(ISBLANK($A171),$B171,$A171),Radionuclide_specific,8,FALSE)*VLOOKUP($B$152,Other_regional_data,5,FALSE)*VLOOKUP($B$152,Interim_regional_data,6,FALSE)*VLOOKUP($B$152,Other_regional_data,9,FALSE)</f>
        <v>0</v>
      </c>
      <c r="E171" s="47">
        <f t="shared" si="72"/>
        <v>0</v>
      </c>
      <c r="F171" s="47">
        <f t="shared" si="72"/>
        <v>0</v>
      </c>
      <c r="G171" s="46">
        <f t="shared" si="72"/>
        <v>0</v>
      </c>
      <c r="H171" s="46">
        <f t="shared" si="72"/>
        <v>0</v>
      </c>
      <c r="I171" s="47">
        <f t="shared" si="73"/>
        <v>0</v>
      </c>
      <c r="J171" s="47">
        <f t="shared" si="74"/>
        <v>0</v>
      </c>
    </row>
    <row r="172" spans="1:10">
      <c r="A172" s="4" t="s">
        <v>22</v>
      </c>
      <c r="B172" s="4"/>
      <c r="C172" s="46">
        <f>'Intermediate calcs'!C225*VLOOKUP(IF(ISBLANK($A172),$B172,$A172),Radionuclide_specific,8,FALSE)*VLOOKUP($B$152,Other_regional_data,5,FALSE)*VLOOKUP($B$152,Interim_regional_data,5,FALSE)*VLOOKUP($B$152,Other_regional_data,8,FALSE)</f>
        <v>0</v>
      </c>
      <c r="D172" s="46">
        <f>'Intermediate calcs'!D225*VLOOKUP(IF(ISBLANK($A172),$B172,$A172),Radionuclide_specific,8,FALSE)*VLOOKUP($B$152,Other_regional_data,5,FALSE)*VLOOKUP($B$152,Interim_regional_data,6,FALSE)*VLOOKUP($B$152,Other_regional_data,9,FALSE)</f>
        <v>1.0352345351722837E-4</v>
      </c>
      <c r="E172" s="47">
        <f t="shared" si="72"/>
        <v>1.4374999999999997E-4</v>
      </c>
      <c r="F172" s="47">
        <f t="shared" si="72"/>
        <v>1.4374999999999999E-5</v>
      </c>
      <c r="G172" s="46">
        <f t="shared" si="72"/>
        <v>1.1750313599999999E-3</v>
      </c>
      <c r="H172" s="46">
        <f t="shared" si="72"/>
        <v>1.1750313599999999E-3</v>
      </c>
      <c r="I172" s="47">
        <f t="shared" si="73"/>
        <v>1.3187813599999999E-3</v>
      </c>
      <c r="J172" s="47">
        <f t="shared" si="74"/>
        <v>1.2929298135172281E-3</v>
      </c>
    </row>
    <row r="173" spans="1:10">
      <c r="A173" s="4" t="s">
        <v>19</v>
      </c>
      <c r="B173" s="4"/>
      <c r="C173" s="46">
        <f>'Intermediate calcs'!C226*VLOOKUP(IF(ISBLANK($A173),$B173,$A173),Radionuclide_specific,8,FALSE)*VLOOKUP($B$152,Other_regional_data,5,FALSE)*VLOOKUP($B$152,Interim_regional_data,5,FALSE)*VLOOKUP($B$152,Other_regional_data,8,FALSE)</f>
        <v>0</v>
      </c>
      <c r="D173" s="46">
        <f>'Intermediate calcs'!D226*VLOOKUP(IF(ISBLANK($A173),$B173,$A173),Radionuclide_specific,8,FALSE)*VLOOKUP($B$152,Other_regional_data,5,FALSE)*VLOOKUP($B$152,Interim_regional_data,6,FALSE)*VLOOKUP($B$152,Other_regional_data,9,FALSE)</f>
        <v>2.163993908283542E-5</v>
      </c>
      <c r="E173" s="47">
        <f t="shared" si="72"/>
        <v>2.3999999999999998E-4</v>
      </c>
      <c r="F173" s="47">
        <f t="shared" si="72"/>
        <v>1.0285714285714285E-5</v>
      </c>
      <c r="G173" s="46">
        <f t="shared" si="72"/>
        <v>2.0435328000000001E-3</v>
      </c>
      <c r="H173" s="46">
        <f t="shared" si="72"/>
        <v>2.0435328000000001E-3</v>
      </c>
      <c r="I173" s="47">
        <f t="shared" si="73"/>
        <v>2.2835327999999998E-3</v>
      </c>
      <c r="J173" s="47">
        <f t="shared" si="74"/>
        <v>2.0754584533685498E-3</v>
      </c>
    </row>
    <row r="174" spans="1:10">
      <c r="A174" s="4" t="s">
        <v>14</v>
      </c>
      <c r="B174" s="4"/>
      <c r="C174" s="46">
        <f>'Intermediate calcs'!C227*VLOOKUP(IF(ISBLANK($A174),$B174,$A174),Radionuclide_specific,8,FALSE)*VLOOKUP($B$152,Other_regional_data,5,FALSE)*VLOOKUP($B$152,Interim_regional_data,5,FALSE)*VLOOKUP($B$152,Other_regional_data,8,FALSE)</f>
        <v>0</v>
      </c>
      <c r="D174" s="46">
        <f>'Intermediate calcs'!D227*VLOOKUP(IF(ISBLANK($A174),$B174,$A174),Radionuclide_specific,8,FALSE)*VLOOKUP($B$152,Other_regional_data,5,FALSE)*VLOOKUP($B$152,Interim_regional_data,6,FALSE)*VLOOKUP($B$152,Other_regional_data,9,FALSE)</f>
        <v>2.6882002598852911E-4</v>
      </c>
      <c r="E174" s="47">
        <f t="shared" si="72"/>
        <v>9.7560975609756076E-6</v>
      </c>
      <c r="F174" s="47">
        <f t="shared" si="72"/>
        <v>1.1914893617021278E-6</v>
      </c>
      <c r="G174" s="46">
        <f t="shared" si="72"/>
        <v>4.7682432000000006E-4</v>
      </c>
      <c r="H174" s="46">
        <f t="shared" si="72"/>
        <v>4.7682432000000006E-4</v>
      </c>
      <c r="I174" s="47">
        <f t="shared" si="73"/>
        <v>4.8658041756097567E-4</v>
      </c>
      <c r="J174" s="47">
        <f t="shared" si="74"/>
        <v>7.4683583535023132E-4</v>
      </c>
    </row>
    <row r="175" spans="1:10">
      <c r="A175" s="4" t="s">
        <v>156</v>
      </c>
      <c r="B175" s="4"/>
      <c r="C175" s="46">
        <f>'Intermediate calcs'!C228*VLOOKUP(IF(ISBLANK($A175),$B175,$A175),Radionuclide_specific,8,FALSE)*VLOOKUP($B$152,Other_regional_data,5,FALSE)*VLOOKUP($B$152,Interim_regional_data,5,FALSE)*VLOOKUP($B$152,Other_regional_data,8,FALSE)</f>
        <v>0</v>
      </c>
      <c r="D175" s="46">
        <f>'Intermediate calcs'!D228*VLOOKUP(IF(ISBLANK($A175),$B175,$A175),Radionuclide_specific,8,FALSE)*VLOOKUP($B$152,Other_regional_data,5,FALSE)*VLOOKUP($B$152,Interim_regional_data,6,FALSE)*VLOOKUP($B$152,Other_regional_data,9,FALSE)</f>
        <v>6.0791144660333728E-6</v>
      </c>
      <c r="E175" s="47">
        <f t="shared" ref="E175:H187" si="85">E138</f>
        <v>2.6249999999999999E-6</v>
      </c>
      <c r="F175" s="47">
        <f t="shared" si="85"/>
        <v>6.5624999999999994E-8</v>
      </c>
      <c r="G175" s="46">
        <f t="shared" si="85"/>
        <v>1.9867679999999998E-4</v>
      </c>
      <c r="H175" s="46">
        <f t="shared" si="85"/>
        <v>1.9867679999999998E-4</v>
      </c>
      <c r="I175" s="47">
        <f t="shared" ref="I175" si="86">C175+E175+G175</f>
        <v>2.0130179999999998E-4</v>
      </c>
      <c r="J175" s="47">
        <f t="shared" ref="J175" si="87">D175+F175+H175</f>
        <v>2.0482153946603336E-4</v>
      </c>
    </row>
    <row r="176" spans="1:10">
      <c r="A176" s="4" t="s">
        <v>20</v>
      </c>
      <c r="B176" s="4"/>
      <c r="C176" s="46">
        <f>'Intermediate calcs'!C229*VLOOKUP(IF(ISBLANK($A176),$B176,$A176),Radionuclide_specific,8,FALSE)*VLOOKUP($B$152,Other_regional_data,5,FALSE)*VLOOKUP($B$152,Interim_regional_data,5,FALSE)*VLOOKUP($B$152,Other_regional_data,8,FALSE)</f>
        <v>0</v>
      </c>
      <c r="D176" s="46">
        <f>'Intermediate calcs'!D229*VLOOKUP(IF(ISBLANK($A176),$B176,$A176),Radionuclide_specific,8,FALSE)*VLOOKUP($B$152,Other_regional_data,5,FALSE)*VLOOKUP($B$152,Interim_regional_data,6,FALSE)*VLOOKUP($B$152,Other_regional_data,9,FALSE)</f>
        <v>6.6580777485127412E-6</v>
      </c>
      <c r="E176" s="47">
        <f t="shared" si="85"/>
        <v>2.875E-6</v>
      </c>
      <c r="F176" s="47">
        <f t="shared" si="85"/>
        <v>7.1875E-8</v>
      </c>
      <c r="G176" s="46">
        <f t="shared" si="85"/>
        <v>2.1759839999999997E-4</v>
      </c>
      <c r="H176" s="46">
        <f t="shared" si="85"/>
        <v>2.1759839999999997E-4</v>
      </c>
      <c r="I176" s="47">
        <f t="shared" si="73"/>
        <v>2.2047339999999998E-4</v>
      </c>
      <c r="J176" s="47">
        <f t="shared" si="74"/>
        <v>2.243283527485127E-4</v>
      </c>
    </row>
    <row r="177" spans="1:10">
      <c r="A177" s="4"/>
      <c r="B177" s="4" t="s">
        <v>29</v>
      </c>
      <c r="C177" s="46">
        <f>'Intermediate calcs'!C230*VLOOKUP(IF(ISBLANK($A177),$B177,$A177),Radionuclide_specific,8,FALSE)*VLOOKUP($B$152,Other_regional_data,5,FALSE)*VLOOKUP($B$152,Interim_regional_data,5,FALSE)*VLOOKUP($B$152,Other_regional_data,8,FALSE)</f>
        <v>0</v>
      </c>
      <c r="D177" s="46">
        <f>'Intermediate calcs'!D230*VLOOKUP(IF(ISBLANK($A177),$B177,$A177),Radionuclide_specific,8,FALSE)*VLOOKUP($B$152,Other_regional_data,5,FALSE)*VLOOKUP($B$152,Interim_regional_data,6,FALSE)*VLOOKUP($B$152,Other_regional_data,9,FALSE)</f>
        <v>2.2064852866445755E-4</v>
      </c>
      <c r="E177" s="47">
        <f t="shared" si="85"/>
        <v>5.7499999999999992E-6</v>
      </c>
      <c r="F177" s="47">
        <f t="shared" si="85"/>
        <v>1.4375E-7</v>
      </c>
      <c r="G177" s="46">
        <f t="shared" si="85"/>
        <v>1.1750313599999999E-3</v>
      </c>
      <c r="H177" s="46">
        <f t="shared" si="85"/>
        <v>1.1750313599999999E-3</v>
      </c>
      <c r="I177" s="47">
        <f t="shared" si="73"/>
        <v>1.1807813599999998E-3</v>
      </c>
      <c r="J177" s="47">
        <f t="shared" si="74"/>
        <v>1.3958236386644573E-3</v>
      </c>
    </row>
    <row r="178" spans="1:10">
      <c r="A178" s="4"/>
      <c r="B178" s="4" t="s">
        <v>108</v>
      </c>
      <c r="C178" s="46">
        <f>'Intermediate calcs'!C231*VLOOKUP(IF(ISBLANK($A178),$B178,$A178),Radionuclide_specific,8,FALSE)*VLOOKUP($B$152,Other_regional_data,5,FALSE)*VLOOKUP($B$152,Interim_regional_data,5,FALSE)*VLOOKUP($B$152,Other_regional_data,8,FALSE)</f>
        <v>0</v>
      </c>
      <c r="D178" s="46">
        <f>'Intermediate calcs'!D231*VLOOKUP(IF(ISBLANK($A178),$B178,$A178),Radionuclide_specific,8,FALSE)*VLOOKUP($B$152,Other_regional_data,5,FALSE)*VLOOKUP($B$152,Interim_regional_data,6,FALSE)*VLOOKUP($B$152,Other_regional_data,9,FALSE)</f>
        <v>0</v>
      </c>
      <c r="E178" s="47">
        <f t="shared" si="85"/>
        <v>1.3437499999999999E-8</v>
      </c>
      <c r="F178" s="47">
        <f t="shared" si="85"/>
        <v>3.3593750000000006E-10</v>
      </c>
      <c r="G178" s="46">
        <f t="shared" si="85"/>
        <v>7.3226592000000011E-7</v>
      </c>
      <c r="H178" s="46">
        <f t="shared" si="85"/>
        <v>7.3226592000000011E-7</v>
      </c>
      <c r="I178" s="47">
        <f t="shared" si="73"/>
        <v>7.4570342000000014E-7</v>
      </c>
      <c r="J178" s="47">
        <f t="shared" si="74"/>
        <v>7.326018575000001E-7</v>
      </c>
    </row>
    <row r="179" spans="1:10">
      <c r="A179" s="4"/>
      <c r="B179" s="4" t="s">
        <v>109</v>
      </c>
      <c r="C179" s="46">
        <f>'Intermediate calcs'!C232*VLOOKUP(IF(ISBLANK($A179),$B179,$A179),Radionuclide_specific,8,FALSE)*VLOOKUP($B$152,Other_regional_data,5,FALSE)*VLOOKUP($B$152,Interim_regional_data,5,FALSE)*VLOOKUP($B$152,Other_regional_data,8,FALSE)</f>
        <v>0</v>
      </c>
      <c r="D179" s="46">
        <f>'Intermediate calcs'!D232*VLOOKUP(IF(ISBLANK($A179),$B179,$A179),Radionuclide_specific,8,FALSE)*VLOOKUP($B$152,Other_regional_data,5,FALSE)*VLOOKUP($B$152,Interim_regional_data,6,FALSE)*VLOOKUP($B$152,Other_regional_data,9,FALSE)</f>
        <v>1.4087863176194072E-6</v>
      </c>
      <c r="E179" s="47">
        <f t="shared" si="85"/>
        <v>8.9999999999999996E-7</v>
      </c>
      <c r="F179" s="47">
        <f t="shared" si="85"/>
        <v>2.25E-8</v>
      </c>
      <c r="G179" s="46">
        <f t="shared" si="85"/>
        <v>6.8117759999999997E-5</v>
      </c>
      <c r="H179" s="46">
        <f t="shared" si="85"/>
        <v>6.8117759999999997E-5</v>
      </c>
      <c r="I179" s="47">
        <f t="shared" si="73"/>
        <v>6.9017759999999992E-5</v>
      </c>
      <c r="J179" s="47">
        <f t="shared" si="74"/>
        <v>6.9549046317619398E-5</v>
      </c>
    </row>
    <row r="180" spans="1:10">
      <c r="A180" s="4"/>
      <c r="B180" s="4" t="s">
        <v>110</v>
      </c>
      <c r="C180" s="46">
        <f>'Intermediate calcs'!C233*VLOOKUP(IF(ISBLANK($A180),$B180,$A180),Radionuclide_specific,8,FALSE)*VLOOKUP($B$152,Other_regional_data,5,FALSE)*VLOOKUP($B$152,Interim_regional_data,5,FALSE)*VLOOKUP($B$152,Other_regional_data,8,FALSE)</f>
        <v>0</v>
      </c>
      <c r="D180" s="46">
        <f>'Intermediate calcs'!D233*VLOOKUP(IF(ISBLANK($A180),$B180,$A180),Radionuclide_specific,8,FALSE)*VLOOKUP($B$152,Other_regional_data,5,FALSE)*VLOOKUP($B$152,Interim_regional_data,6,FALSE)*VLOOKUP($B$152,Other_regional_data,9,FALSE)</f>
        <v>3.5701518932208234E-9</v>
      </c>
      <c r="E180" s="47">
        <f t="shared" si="85"/>
        <v>3.1249999999999992E-7</v>
      </c>
      <c r="F180" s="47">
        <f t="shared" si="85"/>
        <v>7.8125000000000013E-9</v>
      </c>
      <c r="G180" s="46">
        <f t="shared" si="85"/>
        <v>1.0217664E-5</v>
      </c>
      <c r="H180" s="46">
        <f t="shared" si="85"/>
        <v>1.0217664E-5</v>
      </c>
      <c r="I180" s="47">
        <f t="shared" si="73"/>
        <v>1.0530163999999999E-5</v>
      </c>
      <c r="J180" s="47">
        <f t="shared" si="74"/>
        <v>1.0229046651893221E-5</v>
      </c>
    </row>
    <row r="181" spans="1:10">
      <c r="A181" s="4" t="s">
        <v>111</v>
      </c>
      <c r="B181" s="4"/>
      <c r="C181" s="46">
        <f>'Intermediate calcs'!C234*VLOOKUP(IF(ISBLANK($A181),$B181,$A181),Radionuclide_specific,8,FALSE)*VLOOKUP($B$152,Other_regional_data,5,FALSE)*VLOOKUP($B$152,Interim_regional_data,5,FALSE)*VLOOKUP($B$152,Other_regional_data,8,FALSE)</f>
        <v>0</v>
      </c>
      <c r="D181" s="46">
        <f>'Intermediate calcs'!D234*VLOOKUP(IF(ISBLANK($A181),$B181,$A181),Radionuclide_specific,8,FALSE)*VLOOKUP($B$152,Other_regional_data,5,FALSE)*VLOOKUP($B$152,Interim_regional_data,6,FALSE)*VLOOKUP($B$152,Other_regional_data,9,FALSE)</f>
        <v>9.9453188321991951E-6</v>
      </c>
      <c r="E181" s="47">
        <f t="shared" si="85"/>
        <v>4.6993006993006993E-7</v>
      </c>
      <c r="F181" s="47">
        <f t="shared" si="85"/>
        <v>2.294634146341464E-7</v>
      </c>
      <c r="G181" s="46">
        <f t="shared" si="85"/>
        <v>4.6357919999999993E-5</v>
      </c>
      <c r="H181" s="46">
        <f t="shared" si="85"/>
        <v>4.6357919999999993E-5</v>
      </c>
      <c r="I181" s="47">
        <f t="shared" ref="I181" si="88">C181+E181+G181</f>
        <v>4.682785006993006E-5</v>
      </c>
      <c r="J181" s="47">
        <f t="shared" ref="J181" si="89">D181+F181+H181</f>
        <v>5.6532702246833336E-5</v>
      </c>
    </row>
    <row r="182" spans="1:10">
      <c r="A182" s="4" t="s">
        <v>30</v>
      </c>
      <c r="B182" s="4"/>
      <c r="C182" s="46">
        <f>'Intermediate calcs'!C235*VLOOKUP(IF(ISBLANK($A182),$B182,$A182),Radionuclide_specific,8,FALSE)*VLOOKUP($B$152,Other_regional_data,5,FALSE)*VLOOKUP($B$152,Interim_regional_data,5,FALSE)*VLOOKUP($B$152,Other_regional_data,8,FALSE)</f>
        <v>0</v>
      </c>
      <c r="D182" s="46">
        <f>'Intermediate calcs'!D235*VLOOKUP(IF(ISBLANK($A182),$B182,$A182),Radionuclide_specific,8,FALSE)*VLOOKUP($B$152,Other_regional_data,5,FALSE)*VLOOKUP($B$152,Interim_regional_data,6,FALSE)*VLOOKUP($B$152,Other_regional_data,9,FALSE)</f>
        <v>9.1334560703870161E-6</v>
      </c>
      <c r="E182" s="47">
        <f t="shared" si="85"/>
        <v>4.315684315684316E-7</v>
      </c>
      <c r="F182" s="47">
        <f t="shared" si="85"/>
        <v>2.1073170731707321E-7</v>
      </c>
      <c r="G182" s="46">
        <f t="shared" si="85"/>
        <v>4.2573600000000002E-5</v>
      </c>
      <c r="H182" s="46">
        <f t="shared" si="85"/>
        <v>4.2573600000000002E-5</v>
      </c>
      <c r="I182" s="47">
        <f t="shared" si="73"/>
        <v>4.3005168431568435E-5</v>
      </c>
      <c r="J182" s="47">
        <f t="shared" si="74"/>
        <v>5.1917787777704091E-5</v>
      </c>
    </row>
    <row r="183" spans="1:10">
      <c r="A183" s="4"/>
      <c r="B183" s="4" t="s">
        <v>31</v>
      </c>
      <c r="C183" s="46">
        <f>'Intermediate calcs'!C236*VLOOKUP(IF(ISBLANK($A183),$B183,$A183),Radionuclide_specific,8,FALSE)*VLOOKUP($B$152,Other_regional_data,5,FALSE)*VLOOKUP($B$152,Interim_regional_data,5,FALSE)*VLOOKUP($B$152,Other_regional_data,8,FALSE)</f>
        <v>0</v>
      </c>
      <c r="D183" s="46">
        <f>'Intermediate calcs'!D236*VLOOKUP(IF(ISBLANK($A183),$B183,$A183),Radionuclide_specific,8,FALSE)*VLOOKUP($B$152,Other_regional_data,5,FALSE)*VLOOKUP($B$152,Interim_regional_data,6,FALSE)*VLOOKUP($B$152,Other_regional_data,9,FALSE)</f>
        <v>4.1826994266384661E-8</v>
      </c>
      <c r="E183" s="47">
        <f t="shared" si="85"/>
        <v>2.0379620379620385E-7</v>
      </c>
      <c r="F183" s="47">
        <f t="shared" si="85"/>
        <v>9.9512195121951228E-8</v>
      </c>
      <c r="G183" s="46">
        <f t="shared" si="85"/>
        <v>3.2166719999999997E-6</v>
      </c>
      <c r="H183" s="46">
        <f t="shared" si="85"/>
        <v>3.2166719999999997E-6</v>
      </c>
      <c r="I183" s="47">
        <f t="shared" si="73"/>
        <v>3.4204682037962034E-6</v>
      </c>
      <c r="J183" s="47">
        <f t="shared" si="74"/>
        <v>3.3580111893883355E-6</v>
      </c>
    </row>
    <row r="184" spans="1:10" s="114" customFormat="1">
      <c r="A184" s="88"/>
      <c r="B184" s="88" t="s">
        <v>32</v>
      </c>
      <c r="C184" s="89">
        <f>'Intermediate calcs'!C237*VLOOKUP(IF(ISBLANK($A184),$B184,$A184),Radionuclide_specific,8,FALSE)*VLOOKUP($B$152,Other_regional_data,5,FALSE)*VLOOKUP($B$152,Interim_regional_data,5,FALSE)*VLOOKUP($B$152,Other_regional_data,8,FALSE)</f>
        <v>0</v>
      </c>
      <c r="D184" s="89">
        <f>'Intermediate calcs'!D237*VLOOKUP(IF(ISBLANK($A184),$B184,$A184),Radionuclide_specific,8,FALSE)*VLOOKUP($B$152,Other_regional_data,5,FALSE)*VLOOKUP($B$152,Interim_regional_data,6,FALSE)*VLOOKUP($B$152,Other_regional_data,9,FALSE)</f>
        <v>0</v>
      </c>
      <c r="E184" s="90">
        <f t="shared" si="85"/>
        <v>0</v>
      </c>
      <c r="F184" s="90">
        <f t="shared" si="85"/>
        <v>0</v>
      </c>
      <c r="G184" s="89">
        <f t="shared" si="85"/>
        <v>0</v>
      </c>
      <c r="H184" s="89">
        <f t="shared" si="85"/>
        <v>0</v>
      </c>
      <c r="I184" s="90">
        <f t="shared" si="73"/>
        <v>0</v>
      </c>
      <c r="J184" s="90">
        <f t="shared" si="74"/>
        <v>0</v>
      </c>
    </row>
    <row r="185" spans="1:10">
      <c r="A185" s="4" t="s">
        <v>13</v>
      </c>
      <c r="C185" s="46">
        <f>'Intermediate calcs'!C238*VLOOKUP(IF(ISBLANK($A185),$B185,$A185),Radionuclide_specific,8,FALSE)*VLOOKUP($B$152,Other_regional_data,5,FALSE)*VLOOKUP($B$152,Interim_regional_data,5,FALSE)*VLOOKUP($B$152,Other_regional_data,8,FALSE)</f>
        <v>0</v>
      </c>
      <c r="D185" s="46">
        <f>'Intermediate calcs'!D238*VLOOKUP(IF(ISBLANK($A185),$B185,$A185),Radionuclide_specific,8,FALSE)*VLOOKUP($B$152,Other_regional_data,5,FALSE)*VLOOKUP($B$152,Interim_regional_data,6,FALSE)*VLOOKUP($B$152,Other_regional_data,9,FALSE)</f>
        <v>9.491201352120801E-6</v>
      </c>
      <c r="E185" s="47">
        <f t="shared" si="85"/>
        <v>1.293103448275862E-5</v>
      </c>
      <c r="F185" s="47">
        <f t="shared" si="85"/>
        <v>3.0991735537190077E-7</v>
      </c>
      <c r="G185" s="46">
        <f t="shared" si="85"/>
        <v>2.1286800000000001E-4</v>
      </c>
      <c r="H185" s="46">
        <f t="shared" si="85"/>
        <v>2.1286800000000001E-4</v>
      </c>
      <c r="I185" s="47">
        <f t="shared" si="73"/>
        <v>2.2579903448275863E-4</v>
      </c>
      <c r="J185" s="47">
        <f t="shared" si="74"/>
        <v>2.2266911870749272E-4</v>
      </c>
    </row>
    <row r="186" spans="1:10" ht="11.25" customHeight="1">
      <c r="A186" t="s">
        <v>18</v>
      </c>
      <c r="C186" s="46">
        <f>'Intermediate calcs'!C239*VLOOKUP(IF(ISBLANK($A186),$B186,$A186),Radionuclide_specific,8,FALSE)*VLOOKUP($B$152,Other_regional_data,5,FALSE)*VLOOKUP($B$152,Interim_regional_data,5,FALSE)*VLOOKUP($B$152,Other_regional_data,8,FALSE)</f>
        <v>0</v>
      </c>
      <c r="D186" s="46">
        <f>'Intermediate calcs'!D239*VLOOKUP(IF(ISBLANK($A186),$B186,$A186),Radionuclide_specific,8,FALSE)*VLOOKUP($B$152,Other_regional_data,5,FALSE)*VLOOKUP($B$152,Interim_regional_data,6,FALSE)*VLOOKUP($B$152,Other_regional_data,9,FALSE)</f>
        <v>9.491201352120801E-6</v>
      </c>
      <c r="E186" s="47">
        <f t="shared" si="85"/>
        <v>1.293103448275862E-5</v>
      </c>
      <c r="F186" s="47">
        <f t="shared" si="85"/>
        <v>3.0991735537190077E-7</v>
      </c>
      <c r="G186" s="46">
        <f t="shared" si="85"/>
        <v>2.1286800000000001E-4</v>
      </c>
      <c r="H186" s="46">
        <f t="shared" si="85"/>
        <v>2.1286800000000001E-4</v>
      </c>
      <c r="I186" s="47">
        <f t="shared" si="73"/>
        <v>2.2579903448275863E-4</v>
      </c>
      <c r="J186" s="47">
        <f t="shared" si="74"/>
        <v>2.2266911870749272E-4</v>
      </c>
    </row>
    <row r="187" spans="1:10">
      <c r="A187" t="s">
        <v>9</v>
      </c>
      <c r="C187" s="46">
        <f>'Intermediate calcs'!C240*VLOOKUP(IF(ISBLANK($A187),$B187,$A187),Radionuclide_specific,8,FALSE)*VLOOKUP($B$152,Other_regional_data,5,FALSE)*VLOOKUP($B$152,Interim_regional_data,5,FALSE)*VLOOKUP($B$152,Other_regional_data,8,FALSE)</f>
        <v>0</v>
      </c>
      <c r="D187" s="46">
        <f>'Intermediate calcs'!D240*VLOOKUP(IF(ISBLANK($A187),$B187,$A187),Radionuclide_specific,8,FALSE)*VLOOKUP($B$152,Other_regional_data,5,FALSE)*VLOOKUP($B$152,Interim_regional_data,6,FALSE)*VLOOKUP($B$152,Other_regional_data,9,FALSE)</f>
        <v>1.0805367693183679E-5</v>
      </c>
      <c r="E187" s="47">
        <f t="shared" si="85"/>
        <v>1.4117647058823528E-4</v>
      </c>
      <c r="F187" s="47">
        <f t="shared" si="85"/>
        <v>3.934426229508197E-6</v>
      </c>
      <c r="G187" s="46">
        <f t="shared" si="85"/>
        <v>1.7029440000000001E-4</v>
      </c>
      <c r="H187" s="46">
        <f t="shared" si="85"/>
        <v>1.7029440000000001E-4</v>
      </c>
      <c r="I187" s="47">
        <f t="shared" si="73"/>
        <v>3.1147087058823529E-4</v>
      </c>
      <c r="J187" s="47">
        <f t="shared" si="74"/>
        <v>1.8503419392269189E-4</v>
      </c>
    </row>
    <row r="189" spans="1:10" s="115" customFormat="1" ht="25.5" customHeight="1">
      <c r="A189" s="44" t="s">
        <v>297</v>
      </c>
      <c r="B189" s="72" t="s">
        <v>59</v>
      </c>
      <c r="C189" s="134" t="s">
        <v>153</v>
      </c>
      <c r="D189" s="134"/>
      <c r="E189" s="134" t="s">
        <v>154</v>
      </c>
      <c r="F189" s="134"/>
      <c r="G189" s="134"/>
      <c r="H189" s="134"/>
      <c r="I189" s="134" t="s">
        <v>64</v>
      </c>
      <c r="J189" s="134"/>
    </row>
    <row r="190" spans="1:10">
      <c r="A190" s="129" t="s">
        <v>149</v>
      </c>
      <c r="B190" s="129" t="s">
        <v>150</v>
      </c>
      <c r="C190" s="131" t="s">
        <v>196</v>
      </c>
      <c r="D190" s="131"/>
      <c r="E190" s="132" t="s">
        <v>184</v>
      </c>
      <c r="F190" s="132"/>
      <c r="G190" s="131" t="s">
        <v>185</v>
      </c>
      <c r="H190" s="131"/>
      <c r="I190" s="132" t="s">
        <v>195</v>
      </c>
      <c r="J190" s="132"/>
    </row>
    <row r="191" spans="1:10">
      <c r="A191" s="129"/>
      <c r="B191" s="129"/>
      <c r="C191" s="70" t="s">
        <v>73</v>
      </c>
      <c r="D191" s="70" t="s">
        <v>74</v>
      </c>
      <c r="E191" s="69" t="s">
        <v>73</v>
      </c>
      <c r="F191" s="69" t="s">
        <v>74</v>
      </c>
      <c r="G191" s="70" t="s">
        <v>73</v>
      </c>
      <c r="H191" s="70" t="s">
        <v>74</v>
      </c>
      <c r="I191" s="71" t="s">
        <v>73</v>
      </c>
      <c r="J191" s="71" t="s">
        <v>74</v>
      </c>
    </row>
    <row r="192" spans="1:10">
      <c r="A192" s="4" t="s">
        <v>33</v>
      </c>
      <c r="B192" s="4"/>
      <c r="C192" s="46">
        <f>'Intermediate calcs'!C245*VLOOKUP(IF(ISBLANK($A192),$B192,$A192),Radionuclide_specific,8,FALSE)*VLOOKUP($B$189,Other_regional_data,5,FALSE)*VLOOKUP($B$189,Interim_regional_data,5,FALSE)*VLOOKUP($B$189,Other_regional_data,8,FALSE)</f>
        <v>0</v>
      </c>
      <c r="D192" s="46">
        <f>'Intermediate calcs'!D245*VLOOKUP(IF(ISBLANK($A192),$B192,$A192),Radionuclide_specific,8,FALSE)*VLOOKUP($B$189,Other_regional_data,5,FALSE)*VLOOKUP($B$189,Interim_regional_data,6,FALSE)*VLOOKUP($B$189,Other_regional_data,9,FALSE)</f>
        <v>7.1375029172782013E-10</v>
      </c>
      <c r="E192" s="47">
        <f t="shared" ref="E192:H211" si="90">E155</f>
        <v>1.404E-10</v>
      </c>
      <c r="F192" s="47">
        <f t="shared" si="90"/>
        <v>7.0199999999999988E-11</v>
      </c>
      <c r="G192" s="46">
        <f t="shared" si="90"/>
        <v>5.6764799999999995E-8</v>
      </c>
      <c r="H192" s="46">
        <f t="shared" si="90"/>
        <v>5.6764799999999995E-8</v>
      </c>
      <c r="I192" s="47">
        <f>C192+E192+G192</f>
        <v>5.6905199999999997E-8</v>
      </c>
      <c r="J192" s="47">
        <f>D192+F192+H192</f>
        <v>5.7548750291727816E-8</v>
      </c>
    </row>
    <row r="193" spans="1:10">
      <c r="A193" s="4"/>
      <c r="B193" s="4" t="s">
        <v>43</v>
      </c>
      <c r="C193" s="46">
        <f>'Intermediate calcs'!C246*VLOOKUP(IF(ISBLANK($A193),$B193,$A193),Radionuclide_specific,8,FALSE)*VLOOKUP($B$189,Other_regional_data,5,FALSE)*VLOOKUP($B$189,Interim_regional_data,5,FALSE)*VLOOKUP($B$189,Other_regional_data,8,FALSE)</f>
        <v>0</v>
      </c>
      <c r="D193" s="46">
        <f>'Intermediate calcs'!D246*VLOOKUP(IF(ISBLANK($A193),$B193,$A193),Radionuclide_specific,8,FALSE)*VLOOKUP($B$189,Other_regional_data,5,FALSE)*VLOOKUP($B$189,Interim_regional_data,6,FALSE)*VLOOKUP($B$189,Other_regional_data,9,FALSE)</f>
        <v>3.6932295095164337E-9</v>
      </c>
      <c r="E193" s="47">
        <f t="shared" si="90"/>
        <v>3.9639599999999992E-14</v>
      </c>
      <c r="F193" s="47">
        <f t="shared" si="90"/>
        <v>1.9819799999999996E-14</v>
      </c>
      <c r="G193" s="46">
        <f t="shared" si="90"/>
        <v>1.3245119999999998E-7</v>
      </c>
      <c r="H193" s="46">
        <f t="shared" si="90"/>
        <v>1.3245119999999998E-7</v>
      </c>
      <c r="I193" s="47">
        <f t="shared" ref="I193:I224" si="91">C193+E193+G193</f>
        <v>1.3245123963959997E-7</v>
      </c>
      <c r="J193" s="47">
        <f t="shared" ref="J193:J224" si="92">D193+F193+H193</f>
        <v>1.3614444932931642E-7</v>
      </c>
    </row>
    <row r="194" spans="1:10">
      <c r="A194" s="4" t="s">
        <v>10</v>
      </c>
      <c r="B194" s="4"/>
      <c r="C194" s="46">
        <f>'Intermediate calcs'!C247*VLOOKUP(IF(ISBLANK($A194),$B194,$A194),Radionuclide_specific,8,FALSE)*VLOOKUP($B$189,Other_regional_data,5,FALSE)*VLOOKUP($B$189,Interim_regional_data,5,FALSE)*VLOOKUP($B$189,Other_regional_data,8,FALSE)</f>
        <v>0</v>
      </c>
      <c r="D194" s="46">
        <f>'Intermediate calcs'!D247*VLOOKUP(IF(ISBLANK($A194),$B194,$A194),Radionuclide_specific,8,FALSE)*VLOOKUP($B$189,Other_regional_data,5,FALSE)*VLOOKUP($B$189,Interim_regional_data,6,FALSE)*VLOOKUP($B$189,Other_regional_data,9,FALSE)</f>
        <v>2.0306905048873036E-4</v>
      </c>
      <c r="E194" s="47">
        <f t="shared" si="90"/>
        <v>2.3197680231976806E-3</v>
      </c>
      <c r="F194" s="47">
        <f t="shared" si="90"/>
        <v>1.1571072319201997E-3</v>
      </c>
      <c r="G194" s="46">
        <f t="shared" si="90"/>
        <v>1.8290879999999999E-6</v>
      </c>
      <c r="H194" s="46">
        <f t="shared" si="90"/>
        <v>1.8290879999999999E-6</v>
      </c>
      <c r="I194" s="47">
        <f t="shared" si="91"/>
        <v>2.3215971111976807E-3</v>
      </c>
      <c r="J194" s="47">
        <f t="shared" si="92"/>
        <v>1.36200537040893E-3</v>
      </c>
    </row>
    <row r="195" spans="1:10">
      <c r="A195" s="4" t="s">
        <v>240</v>
      </c>
      <c r="B195" s="4"/>
      <c r="C195" s="46">
        <f>'Intermediate calcs'!C248*VLOOKUP(IF(ISBLANK($A195),$B195,$A195),Radionuclide_specific,8,FALSE)*VLOOKUP($B$189,Other_regional_data,5,FALSE)*VLOOKUP($B$189,Interim_regional_data,5,FALSE)*VLOOKUP($B$189,Other_regional_data,8,FALSE)</f>
        <v>0</v>
      </c>
      <c r="D195" s="46">
        <f>'Intermediate calcs'!D248*VLOOKUP(IF(ISBLANK($A195),$B195,$A195),Radionuclide_specific,8,FALSE)*VLOOKUP($B$189,Other_regional_data,5,FALSE)*VLOOKUP($B$189,Interim_regional_data,6,FALSE)*VLOOKUP($B$189,Other_regional_data,9,FALSE)</f>
        <v>1.3130752896067697E-5</v>
      </c>
      <c r="E195" s="47">
        <f t="shared" si="90"/>
        <v>6.1354581673306769E-6</v>
      </c>
      <c r="F195" s="47">
        <f t="shared" si="90"/>
        <v>2.8000000000000003E-6</v>
      </c>
      <c r="G195" s="46">
        <f t="shared" si="90"/>
        <v>1.3112668800000002E-6</v>
      </c>
      <c r="H195" s="46">
        <f t="shared" si="90"/>
        <v>1.3112668800000002E-6</v>
      </c>
      <c r="I195" s="47">
        <f t="shared" si="91"/>
        <v>7.4467250473306775E-6</v>
      </c>
      <c r="J195" s="47">
        <f t="shared" si="92"/>
        <v>1.7242019776067697E-5</v>
      </c>
    </row>
    <row r="196" spans="1:10">
      <c r="A196" s="4" t="s">
        <v>237</v>
      </c>
      <c r="B196" s="4"/>
      <c r="C196" s="46">
        <f>'Intermediate calcs'!C249*VLOOKUP(IF(ISBLANK($A196),$B196,$A196),Radionuclide_specific,8,FALSE)*VLOOKUP($B$189,Other_regional_data,5,FALSE)*VLOOKUP($B$189,Interim_regional_data,5,FALSE)*VLOOKUP($B$189,Other_regional_data,8,FALSE)</f>
        <v>0</v>
      </c>
      <c r="D196" s="46">
        <f>'Intermediate calcs'!D249*VLOOKUP(IF(ISBLANK($A196),$B196,$A196),Radionuclide_specific,8,FALSE)*VLOOKUP($B$189,Other_regional_data,5,FALSE)*VLOOKUP($B$189,Interim_regional_data,6,FALSE)*VLOOKUP($B$189,Other_regional_data,9,FALSE)</f>
        <v>2.7980513865991267E-6</v>
      </c>
      <c r="E196" s="47">
        <f t="shared" si="90"/>
        <v>6.6046511627906978E-7</v>
      </c>
      <c r="F196" s="47">
        <f t="shared" si="90"/>
        <v>2.1037037037037039E-8</v>
      </c>
      <c r="G196" s="46">
        <f t="shared" si="90"/>
        <v>8.060601599999999E-7</v>
      </c>
      <c r="H196" s="46">
        <f t="shared" si="90"/>
        <v>8.060601599999999E-7</v>
      </c>
      <c r="I196" s="47">
        <f t="shared" ref="I196" si="93">C196+E196+G196</f>
        <v>1.4665252762790697E-6</v>
      </c>
      <c r="J196" s="47">
        <f t="shared" ref="J196" si="94">D196+F196+H196</f>
        <v>3.6251485836361641E-6</v>
      </c>
    </row>
    <row r="197" spans="1:10">
      <c r="A197" s="4" t="s">
        <v>236</v>
      </c>
      <c r="B197" s="4"/>
      <c r="C197" s="46">
        <f>'Intermediate calcs'!C250*VLOOKUP(IF(ISBLANK($A197),$B197,$A197),Radionuclide_specific,8,FALSE)*VLOOKUP($B$189,Other_regional_data,5,FALSE)*VLOOKUP($B$189,Interim_regional_data,5,FALSE)*VLOOKUP($B$189,Other_regional_data,8,FALSE)</f>
        <v>0</v>
      </c>
      <c r="D197" s="46">
        <f>'Intermediate calcs'!D250*VLOOKUP(IF(ISBLANK($A197),$B197,$A197),Radionuclide_specific,8,FALSE)*VLOOKUP($B$189,Other_regional_data,5,FALSE)*VLOOKUP($B$189,Interim_regional_data,6,FALSE)*VLOOKUP($B$189,Other_regional_data,9,FALSE)</f>
        <v>1.7998380279669687E-6</v>
      </c>
      <c r="E197" s="47">
        <f t="shared" si="90"/>
        <v>2.9914893617021279E-7</v>
      </c>
      <c r="F197" s="47">
        <f t="shared" si="90"/>
        <v>1.222608695652174E-8</v>
      </c>
      <c r="G197" s="46">
        <f t="shared" si="90"/>
        <v>1.2601785600000002E-6</v>
      </c>
      <c r="H197" s="46">
        <f t="shared" si="90"/>
        <v>1.2601785600000002E-6</v>
      </c>
      <c r="I197" s="47">
        <f t="shared" ref="I197" si="95">C197+E197+G197</f>
        <v>1.559327496170213E-6</v>
      </c>
      <c r="J197" s="47">
        <f t="shared" ref="J197" si="96">D197+F197+H197</f>
        <v>3.0722426749234908E-6</v>
      </c>
    </row>
    <row r="198" spans="1:10">
      <c r="A198" s="4" t="s">
        <v>11</v>
      </c>
      <c r="B198" s="4"/>
      <c r="C198" s="46">
        <f>'Intermediate calcs'!C251*VLOOKUP(IF(ISBLANK($A198),$B198,$A198),Radionuclide_specific,8,FALSE)*VLOOKUP($B$189,Other_regional_data,5,FALSE)*VLOOKUP($B$189,Interim_regional_data,5,FALSE)*VLOOKUP($B$189,Other_regional_data,8,FALSE)</f>
        <v>0</v>
      </c>
      <c r="D198" s="46">
        <f>'Intermediate calcs'!D251*VLOOKUP(IF(ISBLANK($A198),$B198,$A198),Radionuclide_specific,8,FALSE)*VLOOKUP($B$189,Other_regional_data,5,FALSE)*VLOOKUP($B$189,Interim_regional_data,6,FALSE)*VLOOKUP($B$189,Other_regional_data,9,FALSE)</f>
        <v>1.6476875261107894E-5</v>
      </c>
      <c r="E198" s="47">
        <f t="shared" si="90"/>
        <v>1.3744680851063828E-6</v>
      </c>
      <c r="F198" s="47">
        <f t="shared" si="90"/>
        <v>5.6173913043478253E-8</v>
      </c>
      <c r="G198" s="46">
        <f t="shared" si="90"/>
        <v>5.7900096000000006E-6</v>
      </c>
      <c r="H198" s="46">
        <f t="shared" si="90"/>
        <v>5.7900096000000006E-6</v>
      </c>
      <c r="I198" s="47">
        <f t="shared" si="91"/>
        <v>7.1644776851063831E-6</v>
      </c>
      <c r="J198" s="47">
        <f t="shared" si="92"/>
        <v>2.2323058774151374E-5</v>
      </c>
    </row>
    <row r="199" spans="1:10" s="114" customFormat="1">
      <c r="A199" s="88" t="s">
        <v>178</v>
      </c>
      <c r="B199" s="88"/>
      <c r="C199" s="89">
        <f>'Intermediate calcs'!C252*VLOOKUP(IF(ISBLANK($A199),$B199,$A199),Radionuclide_specific,8,FALSE)*VLOOKUP($B$189,Other_regional_data,5,FALSE)*VLOOKUP($B$189,Interim_regional_data,5,FALSE)*VLOOKUP($B$189,Other_regional_data,8,FALSE)</f>
        <v>0</v>
      </c>
      <c r="D199" s="89">
        <f>'Intermediate calcs'!D252*VLOOKUP(IF(ISBLANK($A199),$B199,$A199),Radionuclide_specific,8,FALSE)*VLOOKUP($B$189,Other_regional_data,5,FALSE)*VLOOKUP($B$189,Interim_regional_data,6,FALSE)*VLOOKUP($B$189,Other_regional_data,9,FALSE)</f>
        <v>3.227254785465056E-5</v>
      </c>
      <c r="E199" s="90">
        <f t="shared" si="90"/>
        <v>1.3128712871287129E-4</v>
      </c>
      <c r="F199" s="90">
        <f t="shared" si="90"/>
        <v>5.3040000000000007E-5</v>
      </c>
      <c r="G199" s="89">
        <f t="shared" si="90"/>
        <v>6.6414816E-6</v>
      </c>
      <c r="H199" s="89">
        <f t="shared" si="90"/>
        <v>6.6414816E-6</v>
      </c>
      <c r="I199" s="90">
        <f t="shared" ref="I199" si="97">C199+E199+G199</f>
        <v>1.3792861031287128E-4</v>
      </c>
      <c r="J199" s="90">
        <f t="shared" ref="J199" si="98">D199+F199+H199</f>
        <v>9.1954029454650572E-5</v>
      </c>
    </row>
    <row r="200" spans="1:10">
      <c r="A200" s="4" t="s">
        <v>17</v>
      </c>
      <c r="B200" s="4"/>
      <c r="C200" s="46">
        <f>'Intermediate calcs'!C253*VLOOKUP(IF(ISBLANK($A200),$B200,$A200),Radionuclide_specific,8,FALSE)*VLOOKUP($B$189,Other_regional_data,5,FALSE)*VLOOKUP($B$189,Interim_regional_data,5,FALSE)*VLOOKUP($B$189,Other_regional_data,8,FALSE)</f>
        <v>0</v>
      </c>
      <c r="D200" s="46">
        <f>'Intermediate calcs'!D253*VLOOKUP(IF(ISBLANK($A200),$B200,$A200),Radionuclide_specific,8,FALSE)*VLOOKUP($B$189,Other_regional_data,5,FALSE)*VLOOKUP($B$189,Interim_regional_data,6,FALSE)*VLOOKUP($B$189,Other_regional_data,9,FALSE)</f>
        <v>9.0759968835603193E-4</v>
      </c>
      <c r="E200" s="47">
        <f t="shared" si="90"/>
        <v>7.929687499999999E-7</v>
      </c>
      <c r="F200" s="47">
        <f t="shared" si="90"/>
        <v>2.5374999999999995E-7</v>
      </c>
      <c r="G200" s="46">
        <f t="shared" si="90"/>
        <v>7.1523647999999999E-5</v>
      </c>
      <c r="H200" s="46">
        <f t="shared" si="90"/>
        <v>7.1523647999999999E-5</v>
      </c>
      <c r="I200" s="47">
        <f t="shared" si="91"/>
        <v>7.2316616749999992E-5</v>
      </c>
      <c r="J200" s="47">
        <f t="shared" si="92"/>
        <v>9.7937708635603194E-4</v>
      </c>
    </row>
    <row r="201" spans="1:10" s="114" customFormat="1">
      <c r="A201" s="88"/>
      <c r="B201" s="88" t="s">
        <v>105</v>
      </c>
      <c r="C201" s="89">
        <f>'Intermediate calcs'!C254*VLOOKUP(IF(ISBLANK($A201),$B201,$A201),Radionuclide_specific,8,FALSE)*VLOOKUP($B$189,Other_regional_data,5,FALSE)*VLOOKUP($B$189,Interim_regional_data,5,FALSE)*VLOOKUP($B$189,Other_regional_data,8,FALSE)</f>
        <v>0</v>
      </c>
      <c r="D201" s="89">
        <f>'Intermediate calcs'!D254*VLOOKUP(IF(ISBLANK($A201),$B201,$A201),Radionuclide_specific,8,FALSE)*VLOOKUP($B$189,Other_regional_data,5,FALSE)*VLOOKUP($B$189,Interim_regional_data,6,FALSE)*VLOOKUP($B$189,Other_regional_data,9,FALSE)</f>
        <v>0</v>
      </c>
      <c r="E201" s="90">
        <f t="shared" si="90"/>
        <v>0</v>
      </c>
      <c r="F201" s="90">
        <f t="shared" si="90"/>
        <v>0</v>
      </c>
      <c r="G201" s="89">
        <f t="shared" si="90"/>
        <v>0</v>
      </c>
      <c r="H201" s="89">
        <f t="shared" si="90"/>
        <v>0</v>
      </c>
      <c r="I201" s="90">
        <f t="shared" si="91"/>
        <v>0</v>
      </c>
      <c r="J201" s="90">
        <f t="shared" si="92"/>
        <v>0</v>
      </c>
    </row>
    <row r="202" spans="1:10">
      <c r="A202" s="4" t="s">
        <v>66</v>
      </c>
      <c r="B202" s="4"/>
      <c r="C202" s="46">
        <f>'Intermediate calcs'!C255*VLOOKUP(IF(ISBLANK($A202),$B202,$A202),Radionuclide_specific,8,FALSE)*VLOOKUP($B$189,Other_regional_data,5,FALSE)*VLOOKUP($B$189,Interim_regional_data,5,FALSE)*VLOOKUP($B$189,Other_regional_data,8,FALSE)</f>
        <v>0</v>
      </c>
      <c r="D202" s="46">
        <f>'Intermediate calcs'!D255*VLOOKUP(IF(ISBLANK($A202),$B202,$A202),Radionuclide_specific,8,FALSE)*VLOOKUP($B$189,Other_regional_data,5,FALSE)*VLOOKUP($B$189,Interim_regional_data,6,FALSE)*VLOOKUP($B$189,Other_regional_data,9,FALSE)</f>
        <v>3.129874806813115E-6</v>
      </c>
      <c r="E202" s="47">
        <f t="shared" si="90"/>
        <v>2.3475609756097559E-6</v>
      </c>
      <c r="F202" s="47">
        <f t="shared" si="90"/>
        <v>1.1323529411764707E-7</v>
      </c>
      <c r="G202" s="46">
        <f t="shared" si="90"/>
        <v>1.1920607999999999E-5</v>
      </c>
      <c r="H202" s="46">
        <f t="shared" si="90"/>
        <v>1.1920607999999999E-5</v>
      </c>
      <c r="I202" s="47">
        <f t="shared" si="91"/>
        <v>1.4268168975609756E-5</v>
      </c>
      <c r="J202" s="47">
        <f t="shared" si="92"/>
        <v>1.5163718100930762E-5</v>
      </c>
    </row>
    <row r="203" spans="1:10">
      <c r="A203" s="4"/>
      <c r="B203" s="4" t="s">
        <v>106</v>
      </c>
      <c r="C203" s="46">
        <f>'Intermediate calcs'!C256*VLOOKUP(IF(ISBLANK($A203),$B203,$A203),Radionuclide_specific,8,FALSE)*VLOOKUP($B$189,Other_regional_data,5,FALSE)*VLOOKUP($B$189,Interim_regional_data,5,FALSE)*VLOOKUP($B$189,Other_regional_data,8,FALSE)</f>
        <v>0</v>
      </c>
      <c r="D203" s="46">
        <f>'Intermediate calcs'!D256*VLOOKUP(IF(ISBLANK($A203),$B203,$A203),Radionuclide_specific,8,FALSE)*VLOOKUP($B$189,Other_regional_data,5,FALSE)*VLOOKUP($B$189,Interim_regional_data,6,FALSE)*VLOOKUP($B$189,Other_regional_data,9,FALSE)</f>
        <v>0</v>
      </c>
      <c r="E203" s="47">
        <f t="shared" si="90"/>
        <v>0</v>
      </c>
      <c r="F203" s="47">
        <f t="shared" si="90"/>
        <v>0</v>
      </c>
      <c r="G203" s="46">
        <f t="shared" si="90"/>
        <v>0</v>
      </c>
      <c r="H203" s="46">
        <f t="shared" si="90"/>
        <v>0</v>
      </c>
      <c r="I203" s="47">
        <f t="shared" si="91"/>
        <v>0</v>
      </c>
      <c r="J203" s="47">
        <f t="shared" si="92"/>
        <v>0</v>
      </c>
    </row>
    <row r="204" spans="1:10">
      <c r="A204" s="4" t="s">
        <v>67</v>
      </c>
      <c r="B204" s="4"/>
      <c r="C204" s="46">
        <f>'Intermediate calcs'!C257*VLOOKUP(IF(ISBLANK($A204),$B204,$A204),Radionuclide_specific,8,FALSE)*VLOOKUP($B$189,Other_regional_data,5,FALSE)*VLOOKUP($B$189,Interim_regional_data,5,FALSE)*VLOOKUP($B$189,Other_regional_data,8,FALSE)</f>
        <v>0</v>
      </c>
      <c r="D204" s="46">
        <f>'Intermediate calcs'!D257*VLOOKUP(IF(ISBLANK($A204),$B204,$A204),Radionuclide_specific,8,FALSE)*VLOOKUP($B$189,Other_regional_data,5,FALSE)*VLOOKUP($B$189,Interim_regional_data,6,FALSE)*VLOOKUP($B$189,Other_regional_data,9,FALSE)</f>
        <v>3.032494828161173E-3</v>
      </c>
      <c r="E204" s="47">
        <f t="shared" si="90"/>
        <v>3.0330882352941179E-5</v>
      </c>
      <c r="F204" s="47">
        <f t="shared" si="90"/>
        <v>5.1562499999999991E-6</v>
      </c>
      <c r="G204" s="46">
        <f t="shared" si="90"/>
        <v>2.8098576000000003E-4</v>
      </c>
      <c r="H204" s="46">
        <f t="shared" si="90"/>
        <v>2.8098576000000003E-4</v>
      </c>
      <c r="I204" s="47">
        <f t="shared" si="91"/>
        <v>3.113166423529412E-4</v>
      </c>
      <c r="J204" s="47">
        <f t="shared" si="92"/>
        <v>3.3186368381611731E-3</v>
      </c>
    </row>
    <row r="205" spans="1:10">
      <c r="A205" s="4" t="s">
        <v>239</v>
      </c>
      <c r="B205" s="4"/>
      <c r="C205" s="46">
        <f>'Intermediate calcs'!C258*VLOOKUP(IF(ISBLANK($A205),$B205,$A205),Radionuclide_specific,8,FALSE)*VLOOKUP($B$189,Other_regional_data,5,FALSE)*VLOOKUP($B$189,Interim_regional_data,5,FALSE)*VLOOKUP($B$189,Other_regional_data,8,FALSE)</f>
        <v>0</v>
      </c>
      <c r="D205" s="46">
        <f>'Intermediate calcs'!D258*VLOOKUP(IF(ISBLANK($A205),$B205,$A205),Radionuclide_specific,8,FALSE)*VLOOKUP($B$189,Other_regional_data,5,FALSE)*VLOOKUP($B$189,Interim_regional_data,6,FALSE)*VLOOKUP($B$189,Other_regional_data,9,FALSE)</f>
        <v>3.8586245062083967E-6</v>
      </c>
      <c r="E205" s="47">
        <f t="shared" si="90"/>
        <v>5.5147058823529418E-7</v>
      </c>
      <c r="F205" s="47">
        <f t="shared" si="90"/>
        <v>9.3750000000000002E-8</v>
      </c>
      <c r="G205" s="46">
        <f t="shared" si="90"/>
        <v>5.108832000000001E-6</v>
      </c>
      <c r="H205" s="46">
        <f t="shared" si="90"/>
        <v>5.108832000000001E-6</v>
      </c>
      <c r="I205" s="47">
        <f t="shared" ref="I205" si="99">C205+E205+G205</f>
        <v>5.6603025882352951E-6</v>
      </c>
      <c r="J205" s="47">
        <f t="shared" ref="J205" si="100">D205+F205+H205</f>
        <v>9.0612065062083975E-6</v>
      </c>
    </row>
    <row r="206" spans="1:10">
      <c r="A206" s="4" t="s">
        <v>177</v>
      </c>
      <c r="B206" s="4"/>
      <c r="C206" s="46">
        <f>'Intermediate calcs'!C259*VLOOKUP(IF(ISBLANK($A206),$B206,$A206),Radionuclide_specific,8,FALSE)*VLOOKUP($B$189,Other_regional_data,5,FALSE)*VLOOKUP($B$189,Interim_regional_data,5,FALSE)*VLOOKUP($B$189,Other_regional_data,8,FALSE)</f>
        <v>0</v>
      </c>
      <c r="D206" s="46">
        <f>'Intermediate calcs'!D259*VLOOKUP(IF(ISBLANK($A206),$B206,$A206),Radionuclide_specific,8,FALSE)*VLOOKUP($B$189,Other_regional_data,5,FALSE)*VLOOKUP($B$189,Interim_regional_data,6,FALSE)*VLOOKUP($B$189,Other_regional_data,9,FALSE)</f>
        <v>4.2650601917557036E-4</v>
      </c>
      <c r="E206" s="47">
        <f t="shared" si="90"/>
        <v>3.0063291139240513E-4</v>
      </c>
      <c r="F206" s="47">
        <f t="shared" si="90"/>
        <v>1.5322580645161292E-5</v>
      </c>
      <c r="G206" s="46">
        <f t="shared" si="90"/>
        <v>4.8533904000000011E-5</v>
      </c>
      <c r="H206" s="46">
        <f t="shared" si="90"/>
        <v>4.8533904000000011E-5</v>
      </c>
      <c r="I206" s="47">
        <f t="shared" ref="I206" si="101">C206+E206+G206</f>
        <v>3.4916681539240511E-4</v>
      </c>
      <c r="J206" s="47">
        <f t="shared" ref="J206" si="102">D206+F206+H206</f>
        <v>4.9036250382073171E-4</v>
      </c>
    </row>
    <row r="207" spans="1:10">
      <c r="A207" s="4" t="s">
        <v>12</v>
      </c>
      <c r="B207" s="4"/>
      <c r="C207" s="46">
        <f>'Intermediate calcs'!C260*VLOOKUP(IF(ISBLANK($A207),$B207,$A207),Radionuclide_specific,8,FALSE)*VLOOKUP($B$189,Other_regional_data,5,FALSE)*VLOOKUP($B$189,Interim_regional_data,5,FALSE)*VLOOKUP($B$189,Other_regional_data,8,FALSE)</f>
        <v>0</v>
      </c>
      <c r="D207" s="46">
        <f>'Intermediate calcs'!D260*VLOOKUP(IF(ISBLANK($A207),$B207,$A207),Radionuclide_specific,8,FALSE)*VLOOKUP($B$189,Other_regional_data,5,FALSE)*VLOOKUP($B$189,Interim_regional_data,6,FALSE)*VLOOKUP($B$189,Other_regional_data,9,FALSE)</f>
        <v>3.5006502184878785E-4</v>
      </c>
      <c r="E207" s="47">
        <f t="shared" si="90"/>
        <v>2.0569620253164559E-4</v>
      </c>
      <c r="F207" s="47">
        <f t="shared" si="90"/>
        <v>1.0483870967741936E-5</v>
      </c>
      <c r="G207" s="46">
        <f t="shared" si="90"/>
        <v>3.3207408000000005E-5</v>
      </c>
      <c r="H207" s="46">
        <f t="shared" si="90"/>
        <v>3.3207408000000005E-5</v>
      </c>
      <c r="I207" s="47">
        <f t="shared" si="91"/>
        <v>2.3890361053164558E-4</v>
      </c>
      <c r="J207" s="47">
        <f t="shared" si="92"/>
        <v>3.9375630081652977E-4</v>
      </c>
    </row>
    <row r="208" spans="1:10">
      <c r="A208" s="4"/>
      <c r="B208" s="4" t="s">
        <v>107</v>
      </c>
      <c r="C208" s="46">
        <f>'Intermediate calcs'!C261*VLOOKUP(IF(ISBLANK($A208),$B208,$A208),Radionuclide_specific,8,FALSE)*VLOOKUP($B$189,Other_regional_data,5,FALSE)*VLOOKUP($B$189,Interim_regional_data,5,FALSE)*VLOOKUP($B$189,Other_regional_data,8,FALSE)</f>
        <v>0</v>
      </c>
      <c r="D208" s="46">
        <f>'Intermediate calcs'!D261*VLOOKUP(IF(ISBLANK($A208),$B208,$A208),Radionuclide_specific,8,FALSE)*VLOOKUP($B$189,Other_regional_data,5,FALSE)*VLOOKUP($B$189,Interim_regional_data,6,FALSE)*VLOOKUP($B$189,Other_regional_data,9,FALSE)</f>
        <v>0</v>
      </c>
      <c r="E208" s="47">
        <f t="shared" si="90"/>
        <v>0</v>
      </c>
      <c r="F208" s="47">
        <f t="shared" si="90"/>
        <v>0</v>
      </c>
      <c r="G208" s="46">
        <f t="shared" si="90"/>
        <v>0</v>
      </c>
      <c r="H208" s="46">
        <f t="shared" si="90"/>
        <v>0</v>
      </c>
      <c r="I208" s="47">
        <f t="shared" si="91"/>
        <v>0</v>
      </c>
      <c r="J208" s="47">
        <f t="shared" si="92"/>
        <v>0</v>
      </c>
    </row>
    <row r="209" spans="1:10">
      <c r="A209" s="4" t="s">
        <v>22</v>
      </c>
      <c r="B209" s="4"/>
      <c r="C209" s="46">
        <f>'Intermediate calcs'!C262*VLOOKUP(IF(ISBLANK($A209),$B209,$A209),Radionuclide_specific,8,FALSE)*VLOOKUP($B$189,Other_regional_data,5,FALSE)*VLOOKUP($B$189,Interim_regional_data,5,FALSE)*VLOOKUP($B$189,Other_regional_data,8,FALSE)</f>
        <v>0</v>
      </c>
      <c r="D209" s="46">
        <f>'Intermediate calcs'!D262*VLOOKUP(IF(ISBLANK($A209),$B209,$A209),Radionuclide_specific,8,FALSE)*VLOOKUP($B$189,Other_regional_data,5,FALSE)*VLOOKUP($B$189,Interim_regional_data,6,FALSE)*VLOOKUP($B$189,Other_regional_data,9,FALSE)</f>
        <v>1.2965252650659234E-3</v>
      </c>
      <c r="E209" s="47">
        <f t="shared" si="90"/>
        <v>1.4374999999999997E-4</v>
      </c>
      <c r="F209" s="47">
        <f t="shared" si="90"/>
        <v>1.4374999999999999E-5</v>
      </c>
      <c r="G209" s="46">
        <f t="shared" si="90"/>
        <v>1.1750313599999999E-3</v>
      </c>
      <c r="H209" s="46">
        <f t="shared" si="90"/>
        <v>1.1750313599999999E-3</v>
      </c>
      <c r="I209" s="47">
        <f t="shared" si="91"/>
        <v>1.3187813599999999E-3</v>
      </c>
      <c r="J209" s="47">
        <f t="shared" si="92"/>
        <v>2.4859316250659233E-3</v>
      </c>
    </row>
    <row r="210" spans="1:10">
      <c r="A210" s="4" t="s">
        <v>19</v>
      </c>
      <c r="B210" s="4"/>
      <c r="C210" s="46">
        <f>'Intermediate calcs'!C263*VLOOKUP(IF(ISBLANK($A210),$B210,$A210),Radionuclide_specific,8,FALSE)*VLOOKUP($B$189,Other_regional_data,5,FALSE)*VLOOKUP($B$189,Interim_regional_data,5,FALSE)*VLOOKUP($B$189,Other_regional_data,8,FALSE)</f>
        <v>0</v>
      </c>
      <c r="D210" s="46">
        <f>'Intermediate calcs'!D263*VLOOKUP(IF(ISBLANK($A210),$B210,$A210),Radionuclide_specific,8,FALSE)*VLOOKUP($B$189,Other_regional_data,5,FALSE)*VLOOKUP($B$189,Interim_regional_data,6,FALSE)*VLOOKUP($B$189,Other_regional_data,9,FALSE)</f>
        <v>2.7101808143131963E-4</v>
      </c>
      <c r="E210" s="47">
        <f t="shared" si="90"/>
        <v>2.3999999999999998E-4</v>
      </c>
      <c r="F210" s="47">
        <f t="shared" si="90"/>
        <v>1.0285714285714285E-5</v>
      </c>
      <c r="G210" s="46">
        <f t="shared" si="90"/>
        <v>2.0435328000000001E-3</v>
      </c>
      <c r="H210" s="46">
        <f t="shared" si="90"/>
        <v>2.0435328000000001E-3</v>
      </c>
      <c r="I210" s="47">
        <f t="shared" si="91"/>
        <v>2.2835327999999998E-3</v>
      </c>
      <c r="J210" s="47">
        <f t="shared" si="92"/>
        <v>2.3248365957170341E-3</v>
      </c>
    </row>
    <row r="211" spans="1:10">
      <c r="A211" s="4" t="s">
        <v>14</v>
      </c>
      <c r="B211" s="4"/>
      <c r="C211" s="46">
        <f>'Intermediate calcs'!C264*VLOOKUP(IF(ISBLANK($A211),$B211,$A211),Radionuclide_specific,8,FALSE)*VLOOKUP($B$189,Other_regional_data,5,FALSE)*VLOOKUP($B$189,Interim_regional_data,5,FALSE)*VLOOKUP($B$189,Other_regional_data,8,FALSE)</f>
        <v>0</v>
      </c>
      <c r="D211" s="46">
        <f>'Intermediate calcs'!D264*VLOOKUP(IF(ISBLANK($A211),$B211,$A211),Radionuclide_specific,8,FALSE)*VLOOKUP($B$189,Other_regional_data,5,FALSE)*VLOOKUP($B$189,Interim_regional_data,6,FALSE)*VLOOKUP($B$189,Other_regional_data,9,FALSE)</f>
        <v>3.3666955999666626E-3</v>
      </c>
      <c r="E211" s="47">
        <f t="shared" si="90"/>
        <v>9.7560975609756076E-6</v>
      </c>
      <c r="F211" s="47">
        <f t="shared" si="90"/>
        <v>1.1914893617021278E-6</v>
      </c>
      <c r="G211" s="46">
        <f t="shared" si="90"/>
        <v>4.7682432000000006E-4</v>
      </c>
      <c r="H211" s="46">
        <f t="shared" si="90"/>
        <v>4.7682432000000006E-4</v>
      </c>
      <c r="I211" s="47">
        <f t="shared" si="91"/>
        <v>4.8658041756097567E-4</v>
      </c>
      <c r="J211" s="47">
        <f t="shared" si="92"/>
        <v>3.8447114093283644E-3</v>
      </c>
    </row>
    <row r="212" spans="1:10">
      <c r="A212" s="4" t="s">
        <v>156</v>
      </c>
      <c r="B212" s="4"/>
      <c r="C212" s="46">
        <f>'Intermediate calcs'!C265*VLOOKUP(IF(ISBLANK($A212),$B212,$A212),Radionuclide_specific,8,FALSE)*VLOOKUP($B$189,Other_regional_data,5,FALSE)*VLOOKUP($B$189,Interim_regional_data,5,FALSE)*VLOOKUP($B$189,Other_regional_data,8,FALSE)</f>
        <v>0</v>
      </c>
      <c r="D212" s="46">
        <f>'Intermediate calcs'!D265*VLOOKUP(IF(ISBLANK($A212),$B212,$A212),Radionuclide_specific,8,FALSE)*VLOOKUP($B$189,Other_regional_data,5,FALSE)*VLOOKUP($B$189,Interim_regional_data,6,FALSE)*VLOOKUP($B$189,Other_regional_data,9,FALSE)</f>
        <v>7.61346847178773E-5</v>
      </c>
      <c r="E212" s="47">
        <f t="shared" ref="E212:H224" si="103">E175</f>
        <v>2.6249999999999999E-6</v>
      </c>
      <c r="F212" s="47">
        <f t="shared" si="103"/>
        <v>6.5624999999999994E-8</v>
      </c>
      <c r="G212" s="46">
        <f t="shared" si="103"/>
        <v>1.9867679999999998E-4</v>
      </c>
      <c r="H212" s="46">
        <f t="shared" si="103"/>
        <v>1.9867679999999998E-4</v>
      </c>
      <c r="I212" s="47">
        <f t="shared" ref="I212" si="104">C212+E212+G212</f>
        <v>2.0130179999999998E-4</v>
      </c>
      <c r="J212" s="47">
        <f t="shared" ref="J212" si="105">D212+F212+H212</f>
        <v>2.7487710971787728E-4</v>
      </c>
    </row>
    <row r="213" spans="1:10">
      <c r="A213" s="4" t="s">
        <v>20</v>
      </c>
      <c r="B213" s="4"/>
      <c r="C213" s="46">
        <f>'Intermediate calcs'!C266*VLOOKUP(IF(ISBLANK($A213),$B213,$A213),Radionuclide_specific,8,FALSE)*VLOOKUP($B$189,Other_regional_data,5,FALSE)*VLOOKUP($B$189,Interim_regional_data,5,FALSE)*VLOOKUP($B$189,Other_regional_data,8,FALSE)</f>
        <v>0</v>
      </c>
      <c r="D213" s="46">
        <f>'Intermediate calcs'!D266*VLOOKUP(IF(ISBLANK($A213),$B213,$A213),Radionuclide_specific,8,FALSE)*VLOOKUP($B$189,Other_regional_data,5,FALSE)*VLOOKUP($B$189,Interim_regional_data,6,FALSE)*VLOOKUP($B$189,Other_regional_data,9,FALSE)</f>
        <v>8.3385607071960845E-5</v>
      </c>
      <c r="E213" s="47">
        <f t="shared" si="103"/>
        <v>2.875E-6</v>
      </c>
      <c r="F213" s="47">
        <f t="shared" si="103"/>
        <v>7.1875E-8</v>
      </c>
      <c r="G213" s="46">
        <f t="shared" si="103"/>
        <v>2.1759839999999997E-4</v>
      </c>
      <c r="H213" s="46">
        <f t="shared" si="103"/>
        <v>2.1759839999999997E-4</v>
      </c>
      <c r="I213" s="47">
        <f t="shared" si="91"/>
        <v>2.2047339999999998E-4</v>
      </c>
      <c r="J213" s="47">
        <f t="shared" si="92"/>
        <v>3.0105588207196083E-4</v>
      </c>
    </row>
    <row r="214" spans="1:10">
      <c r="A214" s="4"/>
      <c r="B214" s="4" t="s">
        <v>29</v>
      </c>
      <c r="C214" s="46">
        <f>'Intermediate calcs'!C267*VLOOKUP(IF(ISBLANK($A214),$B214,$A214),Radionuclide_specific,8,FALSE)*VLOOKUP($B$189,Other_regional_data,5,FALSE)*VLOOKUP($B$189,Interim_regional_data,5,FALSE)*VLOOKUP($B$189,Other_regional_data,8,FALSE)</f>
        <v>0</v>
      </c>
      <c r="D214" s="46">
        <f>'Intermediate calcs'!D267*VLOOKUP(IF(ISBLANK($A214),$B214,$A214),Radionuclide_specific,8,FALSE)*VLOOKUP($B$189,Other_regional_data,5,FALSE)*VLOOKUP($B$189,Interim_regional_data,6,FALSE)*VLOOKUP($B$189,Other_regional_data,9,FALSE)</f>
        <v>2.7633969153229893E-3</v>
      </c>
      <c r="E214" s="47">
        <f t="shared" si="103"/>
        <v>5.7499999999999992E-6</v>
      </c>
      <c r="F214" s="47">
        <f t="shared" si="103"/>
        <v>1.4375E-7</v>
      </c>
      <c r="G214" s="46">
        <f t="shared" si="103"/>
        <v>1.1750313599999999E-3</v>
      </c>
      <c r="H214" s="46">
        <f t="shared" si="103"/>
        <v>1.1750313599999999E-3</v>
      </c>
      <c r="I214" s="47">
        <f t="shared" si="91"/>
        <v>1.1807813599999998E-3</v>
      </c>
      <c r="J214" s="47">
        <f t="shared" si="92"/>
        <v>3.9385720253229889E-3</v>
      </c>
    </row>
    <row r="215" spans="1:10">
      <c r="A215" s="4"/>
      <c r="B215" s="4" t="s">
        <v>108</v>
      </c>
      <c r="C215" s="46">
        <f>'Intermediate calcs'!C268*VLOOKUP(IF(ISBLANK($A215),$B215,$A215),Radionuclide_specific,8,FALSE)*VLOOKUP($B$189,Other_regional_data,5,FALSE)*VLOOKUP($B$189,Interim_regional_data,5,FALSE)*VLOOKUP($B$189,Other_regional_data,8,FALSE)</f>
        <v>0</v>
      </c>
      <c r="D215" s="46">
        <f>'Intermediate calcs'!D268*VLOOKUP(IF(ISBLANK($A215),$B215,$A215),Radionuclide_specific,8,FALSE)*VLOOKUP($B$189,Other_regional_data,5,FALSE)*VLOOKUP($B$189,Interim_regional_data,6,FALSE)*VLOOKUP($B$189,Other_regional_data,9,FALSE)</f>
        <v>0</v>
      </c>
      <c r="E215" s="47">
        <f t="shared" si="103"/>
        <v>1.3437499999999999E-8</v>
      </c>
      <c r="F215" s="47">
        <f t="shared" si="103"/>
        <v>3.3593750000000006E-10</v>
      </c>
      <c r="G215" s="46">
        <f t="shared" si="103"/>
        <v>7.3226592000000011E-7</v>
      </c>
      <c r="H215" s="46">
        <f t="shared" si="103"/>
        <v>7.3226592000000011E-7</v>
      </c>
      <c r="I215" s="47">
        <f t="shared" si="91"/>
        <v>7.4570342000000014E-7</v>
      </c>
      <c r="J215" s="47">
        <f t="shared" si="92"/>
        <v>7.326018575000001E-7</v>
      </c>
    </row>
    <row r="216" spans="1:10">
      <c r="A216" s="4"/>
      <c r="B216" s="4" t="s">
        <v>109</v>
      </c>
      <c r="C216" s="46">
        <f>'Intermediate calcs'!C269*VLOOKUP(IF(ISBLANK($A216),$B216,$A216),Radionuclide_specific,8,FALSE)*VLOOKUP($B$189,Other_regional_data,5,FALSE)*VLOOKUP($B$189,Interim_regional_data,5,FALSE)*VLOOKUP($B$189,Other_regional_data,8,FALSE)</f>
        <v>0</v>
      </c>
      <c r="D216" s="46">
        <f>'Intermediate calcs'!D269*VLOOKUP(IF(ISBLANK($A216),$B216,$A216),Radionuclide_specific,8,FALSE)*VLOOKUP($B$189,Other_regional_data,5,FALSE)*VLOOKUP($B$189,Interim_regional_data,6,FALSE)*VLOOKUP($B$189,Other_regional_data,9,FALSE)</f>
        <v>1.7643606272937731E-5</v>
      </c>
      <c r="E216" s="47">
        <f t="shared" si="103"/>
        <v>8.9999999999999996E-7</v>
      </c>
      <c r="F216" s="47">
        <f t="shared" si="103"/>
        <v>2.25E-8</v>
      </c>
      <c r="G216" s="46">
        <f t="shared" si="103"/>
        <v>6.8117759999999997E-5</v>
      </c>
      <c r="H216" s="46">
        <f t="shared" si="103"/>
        <v>6.8117759999999997E-5</v>
      </c>
      <c r="I216" s="47">
        <f t="shared" si="91"/>
        <v>6.9017759999999992E-5</v>
      </c>
      <c r="J216" s="47">
        <f t="shared" si="92"/>
        <v>8.578386627293773E-5</v>
      </c>
    </row>
    <row r="217" spans="1:10">
      <c r="A217" s="4"/>
      <c r="B217" s="4" t="s">
        <v>110</v>
      </c>
      <c r="C217" s="46">
        <f>'Intermediate calcs'!C270*VLOOKUP(IF(ISBLANK($A217),$B217,$A217),Radionuclide_specific,8,FALSE)*VLOOKUP($B$189,Other_regional_data,5,FALSE)*VLOOKUP($B$189,Interim_regional_data,5,FALSE)*VLOOKUP($B$189,Other_regional_data,8,FALSE)</f>
        <v>0</v>
      </c>
      <c r="D217" s="46">
        <f>'Intermediate calcs'!D270*VLOOKUP(IF(ISBLANK($A217),$B217,$A217),Radionuclide_specific,8,FALSE)*VLOOKUP($B$189,Other_regional_data,5,FALSE)*VLOOKUP($B$189,Interim_regional_data,6,FALSE)*VLOOKUP($B$189,Other_regional_data,9,FALSE)</f>
        <v>4.4712497240187356E-8</v>
      </c>
      <c r="E217" s="47">
        <f t="shared" si="103"/>
        <v>3.1249999999999992E-7</v>
      </c>
      <c r="F217" s="47">
        <f t="shared" si="103"/>
        <v>7.8125000000000013E-9</v>
      </c>
      <c r="G217" s="46">
        <f t="shared" si="103"/>
        <v>1.0217664E-5</v>
      </c>
      <c r="H217" s="46">
        <f t="shared" si="103"/>
        <v>1.0217664E-5</v>
      </c>
      <c r="I217" s="47">
        <f t="shared" si="91"/>
        <v>1.0530163999999999E-5</v>
      </c>
      <c r="J217" s="47">
        <f t="shared" si="92"/>
        <v>1.0270188997240187E-5</v>
      </c>
    </row>
    <row r="218" spans="1:10">
      <c r="A218" s="4" t="s">
        <v>111</v>
      </c>
      <c r="B218" s="4"/>
      <c r="C218" s="46">
        <f>'Intermediate calcs'!C271*VLOOKUP(IF(ISBLANK($A218),$B218,$A218),Radionuclide_specific,8,FALSE)*VLOOKUP($B$189,Other_regional_data,5,FALSE)*VLOOKUP($B$189,Interim_regional_data,5,FALSE)*VLOOKUP($B$189,Other_regional_data,8,FALSE)</f>
        <v>0</v>
      </c>
      <c r="D218" s="46">
        <f>'Intermediate calcs'!D271*VLOOKUP(IF(ISBLANK($A218),$B218,$A218),Radionuclide_specific,8,FALSE)*VLOOKUP($B$189,Other_regional_data,5,FALSE)*VLOOKUP($B$189,Interim_regional_data,6,FALSE)*VLOOKUP($B$189,Other_regional_data,9,FALSE)</f>
        <v>1.2455493607481228E-4</v>
      </c>
      <c r="E218" s="47">
        <f t="shared" si="103"/>
        <v>4.6993006993006993E-7</v>
      </c>
      <c r="F218" s="47">
        <f t="shared" si="103"/>
        <v>2.294634146341464E-7</v>
      </c>
      <c r="G218" s="46">
        <f t="shared" si="103"/>
        <v>4.6357919999999993E-5</v>
      </c>
      <c r="H218" s="46">
        <f t="shared" si="103"/>
        <v>4.6357919999999993E-5</v>
      </c>
      <c r="I218" s="47">
        <f t="shared" ref="I218" si="106">C218+E218+G218</f>
        <v>4.682785006993006E-5</v>
      </c>
      <c r="J218" s="47">
        <f t="shared" ref="J218" si="107">D218+F218+H218</f>
        <v>1.7114231948944642E-4</v>
      </c>
    </row>
    <row r="219" spans="1:10">
      <c r="A219" s="4" t="s">
        <v>30</v>
      </c>
      <c r="B219" s="4"/>
      <c r="C219" s="46">
        <f>'Intermediate calcs'!C272*VLOOKUP(IF(ISBLANK($A219),$B219,$A219),Radionuclide_specific,8,FALSE)*VLOOKUP($B$189,Other_regional_data,5,FALSE)*VLOOKUP($B$189,Interim_regional_data,5,FALSE)*VLOOKUP($B$189,Other_regional_data,8,FALSE)</f>
        <v>0</v>
      </c>
      <c r="D219" s="46">
        <f>'Intermediate calcs'!D272*VLOOKUP(IF(ISBLANK($A219),$B219,$A219),Radionuclide_specific,8,FALSE)*VLOOKUP($B$189,Other_regional_data,5,FALSE)*VLOOKUP($B$189,Interim_regional_data,6,FALSE)*VLOOKUP($B$189,Other_regional_data,9,FALSE)</f>
        <v>1.1438718619115413E-4</v>
      </c>
      <c r="E219" s="47">
        <f t="shared" si="103"/>
        <v>4.315684315684316E-7</v>
      </c>
      <c r="F219" s="47">
        <f t="shared" si="103"/>
        <v>2.1073170731707321E-7</v>
      </c>
      <c r="G219" s="46">
        <f t="shared" si="103"/>
        <v>4.2573600000000002E-5</v>
      </c>
      <c r="H219" s="46">
        <f t="shared" si="103"/>
        <v>4.2573600000000002E-5</v>
      </c>
      <c r="I219" s="47">
        <f t="shared" si="91"/>
        <v>4.3005168431568435E-5</v>
      </c>
      <c r="J219" s="47">
        <f t="shared" si="92"/>
        <v>1.5717151789847121E-4</v>
      </c>
    </row>
    <row r="220" spans="1:10" s="114" customFormat="1">
      <c r="A220" s="88"/>
      <c r="B220" s="88" t="s">
        <v>31</v>
      </c>
      <c r="C220" s="89">
        <f>'Intermediate calcs'!C273*VLOOKUP(IF(ISBLANK($A220),$B220,$A220),Radionuclide_specific,8,FALSE)*VLOOKUP($B$189,Other_regional_data,5,FALSE)*VLOOKUP($B$189,Interim_regional_data,5,FALSE)*VLOOKUP($B$189,Other_regional_data,8,FALSE)</f>
        <v>0</v>
      </c>
      <c r="D220" s="89">
        <f>'Intermediate calcs'!D273*VLOOKUP(IF(ISBLANK($A220),$B220,$A220),Radionuclide_specific,8,FALSE)*VLOOKUP($B$189,Other_regional_data,5,FALSE)*VLOOKUP($B$189,Interim_regional_data,6,FALSE)*VLOOKUP($B$189,Other_regional_data,9,FALSE)</f>
        <v>5.2384027952767544E-7</v>
      </c>
      <c r="E220" s="90">
        <f t="shared" si="103"/>
        <v>2.0379620379620385E-7</v>
      </c>
      <c r="F220" s="90">
        <f t="shared" si="103"/>
        <v>9.9512195121951228E-8</v>
      </c>
      <c r="G220" s="89">
        <f t="shared" si="103"/>
        <v>3.2166719999999997E-6</v>
      </c>
      <c r="H220" s="89">
        <f t="shared" si="103"/>
        <v>3.2166719999999997E-6</v>
      </c>
      <c r="I220" s="90">
        <f t="shared" si="91"/>
        <v>3.4204682037962034E-6</v>
      </c>
      <c r="J220" s="90">
        <f t="shared" si="92"/>
        <v>3.8400244746496261E-6</v>
      </c>
    </row>
    <row r="221" spans="1:10">
      <c r="A221" s="4"/>
      <c r="B221" s="4" t="s">
        <v>32</v>
      </c>
      <c r="C221" s="46">
        <f>'Intermediate calcs'!C274*VLOOKUP(IF(ISBLANK($A221),$B221,$A221),Radionuclide_specific,8,FALSE)*VLOOKUP($B$189,Other_regional_data,5,FALSE)*VLOOKUP($B$189,Interim_regional_data,5,FALSE)*VLOOKUP($B$189,Other_regional_data,8,FALSE)</f>
        <v>0</v>
      </c>
      <c r="D221" s="46">
        <f>'Intermediate calcs'!D274*VLOOKUP(IF(ISBLANK($A221),$B221,$A221),Radionuclide_specific,8,FALSE)*VLOOKUP($B$189,Other_regional_data,5,FALSE)*VLOOKUP($B$189,Interim_regional_data,6,FALSE)*VLOOKUP($B$189,Other_regional_data,9,FALSE)</f>
        <v>0</v>
      </c>
      <c r="E221" s="47">
        <f t="shared" si="103"/>
        <v>0</v>
      </c>
      <c r="F221" s="47">
        <f t="shared" si="103"/>
        <v>0</v>
      </c>
      <c r="G221" s="46">
        <f t="shared" si="103"/>
        <v>0</v>
      </c>
      <c r="H221" s="46">
        <f t="shared" si="103"/>
        <v>0</v>
      </c>
      <c r="I221" s="47">
        <f t="shared" si="91"/>
        <v>0</v>
      </c>
      <c r="J221" s="47">
        <f t="shared" si="92"/>
        <v>0</v>
      </c>
    </row>
    <row r="222" spans="1:10">
      <c r="A222" s="4" t="s">
        <v>13</v>
      </c>
      <c r="C222" s="46">
        <f>'Intermediate calcs'!C275*VLOOKUP(IF(ISBLANK($A222),$B222,$A222),Radionuclide_specific,8,FALSE)*VLOOKUP($B$189,Other_regional_data,5,FALSE)*VLOOKUP($B$189,Interim_regional_data,5,FALSE)*VLOOKUP($B$189,Other_regional_data,8,FALSE)</f>
        <v>0</v>
      </c>
      <c r="D222" s="46">
        <f>'Intermediate calcs'!D275*VLOOKUP(IF(ISBLANK($A222),$B222,$A222),Radionuclide_specific,8,FALSE)*VLOOKUP($B$189,Other_regional_data,5,FALSE)*VLOOKUP($B$189,Interim_regional_data,6,FALSE)*VLOOKUP($B$189,Other_regional_data,9,FALSE)</f>
        <v>1.1886757957514019E-4</v>
      </c>
      <c r="E222" s="47">
        <f t="shared" si="103"/>
        <v>1.293103448275862E-5</v>
      </c>
      <c r="F222" s="47">
        <f t="shared" si="103"/>
        <v>3.0991735537190077E-7</v>
      </c>
      <c r="G222" s="46">
        <f t="shared" si="103"/>
        <v>2.1286800000000001E-4</v>
      </c>
      <c r="H222" s="46">
        <f t="shared" si="103"/>
        <v>2.1286800000000001E-4</v>
      </c>
      <c r="I222" s="47">
        <f t="shared" si="91"/>
        <v>2.2579903448275863E-4</v>
      </c>
      <c r="J222" s="47">
        <f t="shared" si="92"/>
        <v>3.3204549693051209E-4</v>
      </c>
    </row>
    <row r="223" spans="1:10">
      <c r="A223" t="s">
        <v>18</v>
      </c>
      <c r="C223" s="46">
        <f>'Intermediate calcs'!C276*VLOOKUP(IF(ISBLANK($A223),$B223,$A223),Radionuclide_specific,8,FALSE)*VLOOKUP($B$189,Other_regional_data,5,FALSE)*VLOOKUP($B$189,Interim_regional_data,5,FALSE)*VLOOKUP($B$189,Other_regional_data,8,FALSE)</f>
        <v>0</v>
      </c>
      <c r="D223" s="46">
        <f>'Intermediate calcs'!D276*VLOOKUP(IF(ISBLANK($A223),$B223,$A223),Radionuclide_specific,8,FALSE)*VLOOKUP($B$189,Other_regional_data,5,FALSE)*VLOOKUP($B$189,Interim_regional_data,6,FALSE)*VLOOKUP($B$189,Other_regional_data,9,FALSE)</f>
        <v>1.1886757957514019E-4</v>
      </c>
      <c r="E223" s="47">
        <f t="shared" si="103"/>
        <v>1.293103448275862E-5</v>
      </c>
      <c r="F223" s="47">
        <f t="shared" si="103"/>
        <v>3.0991735537190077E-7</v>
      </c>
      <c r="G223" s="46">
        <f t="shared" si="103"/>
        <v>2.1286800000000001E-4</v>
      </c>
      <c r="H223" s="46">
        <f t="shared" si="103"/>
        <v>2.1286800000000001E-4</v>
      </c>
      <c r="I223" s="47">
        <f t="shared" si="91"/>
        <v>2.2579903448275863E-4</v>
      </c>
      <c r="J223" s="47">
        <f t="shared" si="92"/>
        <v>3.3204549693051209E-4</v>
      </c>
    </row>
    <row r="224" spans="1:10">
      <c r="A224" t="s">
        <v>9</v>
      </c>
      <c r="C224" s="46">
        <f>'Intermediate calcs'!C277*VLOOKUP(IF(ISBLANK($A224),$B224,$A224),Radionuclide_specific,8,FALSE)*VLOOKUP($B$189,Other_regional_data,5,FALSE)*VLOOKUP($B$189,Interim_regional_data,5,FALSE)*VLOOKUP($B$189,Other_regional_data,8,FALSE)</f>
        <v>0</v>
      </c>
      <c r="D224" s="46">
        <f>'Intermediate calcs'!D277*VLOOKUP(IF(ISBLANK($A224),$B224,$A224),Radionuclide_specific,8,FALSE)*VLOOKUP($B$189,Other_regional_data,5,FALSE)*VLOOKUP($B$189,Interim_regional_data,6,FALSE)*VLOOKUP($B$189,Other_regional_data,9,FALSE)</f>
        <v>1.3532616751631344E-4</v>
      </c>
      <c r="E224" s="47">
        <f t="shared" si="103"/>
        <v>1.4117647058823528E-4</v>
      </c>
      <c r="F224" s="47">
        <f t="shared" si="103"/>
        <v>3.934426229508197E-6</v>
      </c>
      <c r="G224" s="46">
        <f t="shared" si="103"/>
        <v>1.7029440000000001E-4</v>
      </c>
      <c r="H224" s="46">
        <f t="shared" si="103"/>
        <v>1.7029440000000001E-4</v>
      </c>
      <c r="I224" s="47">
        <f t="shared" si="91"/>
        <v>3.1147087058823529E-4</v>
      </c>
      <c r="J224" s="47">
        <f t="shared" si="92"/>
        <v>3.0955499374582166E-4</v>
      </c>
    </row>
    <row r="226" spans="1:10" s="115" customFormat="1" ht="25.5" customHeight="1">
      <c r="A226" s="44" t="s">
        <v>297</v>
      </c>
      <c r="B226" s="72" t="s">
        <v>252</v>
      </c>
      <c r="C226" s="134" t="s">
        <v>153</v>
      </c>
      <c r="D226" s="134"/>
      <c r="E226" s="134" t="s">
        <v>154</v>
      </c>
      <c r="F226" s="134"/>
      <c r="G226" s="134"/>
      <c r="H226" s="134"/>
      <c r="I226" s="134" t="s">
        <v>64</v>
      </c>
      <c r="J226" s="134"/>
    </row>
    <row r="227" spans="1:10">
      <c r="A227" s="129" t="s">
        <v>149</v>
      </c>
      <c r="B227" s="129" t="s">
        <v>150</v>
      </c>
      <c r="C227" s="131" t="s">
        <v>196</v>
      </c>
      <c r="D227" s="131"/>
      <c r="E227" s="132" t="s">
        <v>184</v>
      </c>
      <c r="F227" s="132"/>
      <c r="G227" s="131" t="s">
        <v>185</v>
      </c>
      <c r="H227" s="131"/>
      <c r="I227" s="132" t="s">
        <v>195</v>
      </c>
      <c r="J227" s="132"/>
    </row>
    <row r="228" spans="1:10">
      <c r="A228" s="129"/>
      <c r="B228" s="129"/>
      <c r="C228" s="81" t="s">
        <v>73</v>
      </c>
      <c r="D228" s="81" t="s">
        <v>74</v>
      </c>
      <c r="E228" s="82" t="s">
        <v>73</v>
      </c>
      <c r="F228" s="82" t="s">
        <v>74</v>
      </c>
      <c r="G228" s="81" t="s">
        <v>73</v>
      </c>
      <c r="H228" s="81" t="s">
        <v>74</v>
      </c>
      <c r="I228" s="80" t="s">
        <v>73</v>
      </c>
      <c r="J228" s="80" t="s">
        <v>74</v>
      </c>
    </row>
    <row r="229" spans="1:10">
      <c r="A229" s="4" t="s">
        <v>33</v>
      </c>
      <c r="B229" s="4"/>
      <c r="C229" s="46">
        <f>'Intermediate calcs'!C282*VLOOKUP(IF(ISBLANK($A229),$B229,$A229),Radionuclide_specific,8,FALSE)*VLOOKUP($B$226,Other_regional_data,5,FALSE)*VLOOKUP($B$226,Interim_regional_data,5,FALSE)*VLOOKUP($B$226,Other_regional_data,8,FALSE)</f>
        <v>0</v>
      </c>
      <c r="D229" s="46">
        <f>'Intermediate calcs'!D282*VLOOKUP(IF(ISBLANK($A229),$B229,$A229),Radionuclide_specific,8,FALSE)*VLOOKUP($B$226,Other_regional_data,5,FALSE)*VLOOKUP($B$226,Interim_regional_data,6,FALSE)*VLOOKUP($B$226,Other_regional_data,9,FALSE)</f>
        <v>6.4999306393040796E-11</v>
      </c>
      <c r="E229" s="47">
        <f t="shared" ref="E229:H248" si="108">E192</f>
        <v>1.404E-10</v>
      </c>
      <c r="F229" s="47">
        <f t="shared" si="108"/>
        <v>7.0199999999999988E-11</v>
      </c>
      <c r="G229" s="46">
        <f t="shared" si="108"/>
        <v>5.6764799999999995E-8</v>
      </c>
      <c r="H229" s="46">
        <f t="shared" si="108"/>
        <v>5.6764799999999995E-8</v>
      </c>
      <c r="I229" s="47">
        <f>C229+E229+G229</f>
        <v>5.6905199999999997E-8</v>
      </c>
      <c r="J229" s="47">
        <f>D229+F229+H229</f>
        <v>5.6899999306393036E-8</v>
      </c>
    </row>
    <row r="230" spans="1:10">
      <c r="A230" s="4"/>
      <c r="B230" s="4" t="s">
        <v>43</v>
      </c>
      <c r="C230" s="46">
        <f>'Intermediate calcs'!C283*VLOOKUP(IF(ISBLANK($A230),$B230,$A230),Radionuclide_specific,8,FALSE)*VLOOKUP($B$226,Other_regional_data,5,FALSE)*VLOOKUP($B$226,Interim_regional_data,5,FALSE)*VLOOKUP($B$226,Other_regional_data,8,FALSE)</f>
        <v>0</v>
      </c>
      <c r="D230" s="46">
        <f>'Intermediate calcs'!D283*VLOOKUP(IF(ISBLANK($A230),$B230,$A230),Radionuclide_specific,8,FALSE)*VLOOKUP($B$226,Other_regional_data,5,FALSE)*VLOOKUP($B$226,Interim_regional_data,6,FALSE)*VLOOKUP($B$226,Other_regional_data,9,FALSE)</f>
        <v>3.3633241100015044E-10</v>
      </c>
      <c r="E230" s="47">
        <f t="shared" si="108"/>
        <v>3.9639599999999992E-14</v>
      </c>
      <c r="F230" s="47">
        <f t="shared" si="108"/>
        <v>1.9819799999999996E-14</v>
      </c>
      <c r="G230" s="46">
        <f t="shared" si="108"/>
        <v>1.3245119999999998E-7</v>
      </c>
      <c r="H230" s="46">
        <f t="shared" si="108"/>
        <v>1.3245119999999998E-7</v>
      </c>
      <c r="I230" s="47">
        <f t="shared" ref="I230:I261" si="109">C230+E230+G230</f>
        <v>1.3245123963959997E-7</v>
      </c>
      <c r="J230" s="47">
        <f t="shared" ref="J230:J261" si="110">D230+F230+H230</f>
        <v>1.3278755223080015E-7</v>
      </c>
    </row>
    <row r="231" spans="1:10">
      <c r="A231" s="4" t="s">
        <v>10</v>
      </c>
      <c r="B231" s="4"/>
      <c r="C231" s="46">
        <f>'Intermediate calcs'!C284*VLOOKUP(IF(ISBLANK($A231),$B231,$A231),Radionuclide_specific,8,FALSE)*VLOOKUP($B$226,Other_regional_data,5,FALSE)*VLOOKUP($B$226,Interim_regional_data,5,FALSE)*VLOOKUP($B$226,Other_regional_data,8,FALSE)</f>
        <v>0</v>
      </c>
      <c r="D231" s="46">
        <f>'Intermediate calcs'!D284*VLOOKUP(IF(ISBLANK($A231),$B231,$A231),Radionuclide_specific,8,FALSE)*VLOOKUP($B$226,Other_regional_data,5,FALSE)*VLOOKUP($B$226,Interim_regional_data,6,FALSE)*VLOOKUP($B$226,Other_regional_data,9,FALSE)</f>
        <v>1.0166795889104269E-5</v>
      </c>
      <c r="E231" s="47">
        <f t="shared" si="108"/>
        <v>2.3197680231976806E-3</v>
      </c>
      <c r="F231" s="47">
        <f t="shared" si="108"/>
        <v>1.1571072319201997E-3</v>
      </c>
      <c r="G231" s="46">
        <f t="shared" si="108"/>
        <v>1.8290879999999999E-6</v>
      </c>
      <c r="H231" s="46">
        <f t="shared" si="108"/>
        <v>1.8290879999999999E-6</v>
      </c>
      <c r="I231" s="47">
        <f t="shared" si="109"/>
        <v>2.3215971111976807E-3</v>
      </c>
      <c r="J231" s="47">
        <f t="shared" si="110"/>
        <v>1.1691031158093039E-3</v>
      </c>
    </row>
    <row r="232" spans="1:10">
      <c r="A232" s="4" t="s">
        <v>240</v>
      </c>
      <c r="B232" s="4"/>
      <c r="C232" s="46">
        <f>'Intermediate calcs'!C285*VLOOKUP(IF(ISBLANK($A232),$B232,$A232),Radionuclide_specific,8,FALSE)*VLOOKUP($B$226,Other_regional_data,5,FALSE)*VLOOKUP($B$226,Interim_regional_data,5,FALSE)*VLOOKUP($B$226,Other_regional_data,8,FALSE)</f>
        <v>0</v>
      </c>
      <c r="D232" s="46">
        <f>'Intermediate calcs'!D285*VLOOKUP(IF(ISBLANK($A232),$B232,$A232),Radionuclide_specific,8,FALSE)*VLOOKUP($B$226,Other_regional_data,5,FALSE)*VLOOKUP($B$226,Interim_regional_data,6,FALSE)*VLOOKUP($B$226,Other_regional_data,9,FALSE)</f>
        <v>6.5740044700703268E-7</v>
      </c>
      <c r="E232" s="47">
        <f t="shared" si="108"/>
        <v>6.1354581673306769E-6</v>
      </c>
      <c r="F232" s="47">
        <f t="shared" si="108"/>
        <v>2.8000000000000003E-6</v>
      </c>
      <c r="G232" s="46">
        <f t="shared" si="108"/>
        <v>1.3112668800000002E-6</v>
      </c>
      <c r="H232" s="46">
        <f t="shared" si="108"/>
        <v>1.3112668800000002E-6</v>
      </c>
      <c r="I232" s="47">
        <f t="shared" si="109"/>
        <v>7.4467250473306775E-6</v>
      </c>
      <c r="J232" s="47">
        <f t="shared" si="110"/>
        <v>4.7686673270070333E-6</v>
      </c>
    </row>
    <row r="233" spans="1:10">
      <c r="A233" s="4" t="s">
        <v>237</v>
      </c>
      <c r="B233" s="4"/>
      <c r="C233" s="46">
        <f>'Intermediate calcs'!C286*VLOOKUP(IF(ISBLANK($A233),$B233,$A233),Radionuclide_specific,8,FALSE)*VLOOKUP($B$226,Other_regional_data,5,FALSE)*VLOOKUP($B$226,Interim_regional_data,5,FALSE)*VLOOKUP($B$226,Other_regional_data,8,FALSE)</f>
        <v>0</v>
      </c>
      <c r="D233" s="46">
        <f>'Intermediate calcs'!D286*VLOOKUP(IF(ISBLANK($A233),$B233,$A233),Radionuclide_specific,8,FALSE)*VLOOKUP($B$226,Other_regional_data,5,FALSE)*VLOOKUP($B$226,Interim_regional_data,6,FALSE)*VLOOKUP($B$226,Other_regional_data,9,FALSE)</f>
        <v>1.4008642511655029E-7</v>
      </c>
      <c r="E233" s="47">
        <f t="shared" si="108"/>
        <v>6.6046511627906978E-7</v>
      </c>
      <c r="F233" s="47">
        <f t="shared" si="108"/>
        <v>2.1037037037037039E-8</v>
      </c>
      <c r="G233" s="46">
        <f t="shared" si="108"/>
        <v>8.060601599999999E-7</v>
      </c>
      <c r="H233" s="46">
        <f t="shared" si="108"/>
        <v>8.060601599999999E-7</v>
      </c>
      <c r="I233" s="47">
        <f t="shared" ref="I233" si="111">C233+E233+G233</f>
        <v>1.4665252762790697E-6</v>
      </c>
      <c r="J233" s="47">
        <f t="shared" ref="J233" si="112">D233+F233+H233</f>
        <v>9.6718362215358731E-7</v>
      </c>
    </row>
    <row r="234" spans="1:10">
      <c r="A234" s="4" t="s">
        <v>236</v>
      </c>
      <c r="B234" s="4"/>
      <c r="C234" s="46">
        <f>'Intermediate calcs'!C287*VLOOKUP(IF(ISBLANK($A234),$B234,$A234),Radionuclide_specific,8,FALSE)*VLOOKUP($B$226,Other_regional_data,5,FALSE)*VLOOKUP($B$226,Interim_regional_data,5,FALSE)*VLOOKUP($B$226,Other_regional_data,8,FALSE)</f>
        <v>0</v>
      </c>
      <c r="D234" s="46">
        <f>'Intermediate calcs'!D287*VLOOKUP(IF(ISBLANK($A234),$B234,$A234),Radionuclide_specific,8,FALSE)*VLOOKUP($B$226,Other_regional_data,5,FALSE)*VLOOKUP($B$226,Interim_regional_data,6,FALSE)*VLOOKUP($B$226,Other_regional_data,9,FALSE)</f>
        <v>9.0110166072813848E-8</v>
      </c>
      <c r="E234" s="47">
        <f t="shared" si="108"/>
        <v>2.9914893617021279E-7</v>
      </c>
      <c r="F234" s="47">
        <f t="shared" si="108"/>
        <v>1.222608695652174E-8</v>
      </c>
      <c r="G234" s="46">
        <f t="shared" si="108"/>
        <v>1.2601785600000002E-6</v>
      </c>
      <c r="H234" s="46">
        <f t="shared" si="108"/>
        <v>1.2601785600000002E-6</v>
      </c>
      <c r="I234" s="47">
        <f t="shared" ref="I234" si="113">C234+E234+G234</f>
        <v>1.559327496170213E-6</v>
      </c>
      <c r="J234" s="47">
        <f t="shared" ref="J234" si="114">D234+F234+H234</f>
        <v>1.3625148130293359E-6</v>
      </c>
    </row>
    <row r="235" spans="1:10">
      <c r="A235" s="4" t="s">
        <v>11</v>
      </c>
      <c r="B235" s="4"/>
      <c r="C235" s="46">
        <f>'Intermediate calcs'!C288*VLOOKUP(IF(ISBLANK($A235),$B235,$A235),Radionuclide_specific,8,FALSE)*VLOOKUP($B$226,Other_regional_data,5,FALSE)*VLOOKUP($B$226,Interim_regional_data,5,FALSE)*VLOOKUP($B$226,Other_regional_data,8,FALSE)</f>
        <v>0</v>
      </c>
      <c r="D235" s="46">
        <f>'Intermediate calcs'!D288*VLOOKUP(IF(ISBLANK($A235),$B235,$A235),Radionuclide_specific,8,FALSE)*VLOOKUP($B$226,Other_regional_data,5,FALSE)*VLOOKUP($B$226,Interim_regional_data,6,FALSE)*VLOOKUP($B$226,Other_regional_data,9,FALSE)</f>
        <v>8.2492643397282337E-7</v>
      </c>
      <c r="E235" s="47">
        <f t="shared" si="108"/>
        <v>1.3744680851063828E-6</v>
      </c>
      <c r="F235" s="47">
        <f t="shared" si="108"/>
        <v>5.6173913043478253E-8</v>
      </c>
      <c r="G235" s="46">
        <f t="shared" si="108"/>
        <v>5.7900096000000006E-6</v>
      </c>
      <c r="H235" s="46">
        <f t="shared" si="108"/>
        <v>5.7900096000000006E-6</v>
      </c>
      <c r="I235" s="47">
        <f t="shared" si="109"/>
        <v>7.1644776851063831E-6</v>
      </c>
      <c r="J235" s="47">
        <f t="shared" si="110"/>
        <v>6.6711099470163021E-6</v>
      </c>
    </row>
    <row r="236" spans="1:10">
      <c r="A236" s="4" t="s">
        <v>178</v>
      </c>
      <c r="B236" s="4"/>
      <c r="C236" s="46">
        <f>'Intermediate calcs'!C289*VLOOKUP(IF(ISBLANK($A236),$B236,$A236),Radionuclide_specific,8,FALSE)*VLOOKUP($B$226,Other_regional_data,5,FALSE)*VLOOKUP($B$226,Interim_regional_data,5,FALSE)*VLOOKUP($B$226,Other_regional_data,8,FALSE)</f>
        <v>0</v>
      </c>
      <c r="D236" s="46">
        <f>'Intermediate calcs'!D289*VLOOKUP(IF(ISBLANK($A236),$B236,$A236),Radionuclide_specific,8,FALSE)*VLOOKUP($B$226,Other_regional_data,5,FALSE)*VLOOKUP($B$226,Interim_regional_data,6,FALSE)*VLOOKUP($B$226,Other_regional_data,9,FALSE)</f>
        <v>1.6157479737553163E-6</v>
      </c>
      <c r="E236" s="47">
        <f t="shared" si="108"/>
        <v>1.3128712871287129E-4</v>
      </c>
      <c r="F236" s="47">
        <f t="shared" si="108"/>
        <v>5.3040000000000007E-5</v>
      </c>
      <c r="G236" s="46">
        <f t="shared" si="108"/>
        <v>6.6414816E-6</v>
      </c>
      <c r="H236" s="46">
        <f t="shared" si="108"/>
        <v>6.6414816E-6</v>
      </c>
      <c r="I236" s="47">
        <f t="shared" si="109"/>
        <v>1.3792861031287128E-4</v>
      </c>
      <c r="J236" s="47">
        <f t="shared" si="110"/>
        <v>6.129722957375533E-5</v>
      </c>
    </row>
    <row r="237" spans="1:10">
      <c r="A237" s="4" t="s">
        <v>17</v>
      </c>
      <c r="B237" s="4"/>
      <c r="C237" s="46">
        <f>'Intermediate calcs'!C290*VLOOKUP(IF(ISBLANK($A237),$B237,$A237),Radionuclide_specific,8,FALSE)*VLOOKUP($B$226,Other_regional_data,5,FALSE)*VLOOKUP($B$226,Interim_regional_data,5,FALSE)*VLOOKUP($B$226,Other_regional_data,8,FALSE)</f>
        <v>0</v>
      </c>
      <c r="D237" s="46">
        <f>'Intermediate calcs'!D290*VLOOKUP(IF(ISBLANK($A237),$B237,$A237),Radionuclide_specific,8,FALSE)*VLOOKUP($B$226,Other_regional_data,5,FALSE)*VLOOKUP($B$226,Interim_regional_data,6,FALSE)*VLOOKUP($B$226,Other_regional_data,9,FALSE)</f>
        <v>4.5439621440700572E-5</v>
      </c>
      <c r="E237" s="47">
        <f t="shared" si="108"/>
        <v>7.929687499999999E-7</v>
      </c>
      <c r="F237" s="47">
        <f t="shared" si="108"/>
        <v>2.5374999999999995E-7</v>
      </c>
      <c r="G237" s="46">
        <f t="shared" si="108"/>
        <v>7.1523647999999999E-5</v>
      </c>
      <c r="H237" s="46">
        <f t="shared" si="108"/>
        <v>7.1523647999999999E-5</v>
      </c>
      <c r="I237" s="47">
        <f t="shared" si="109"/>
        <v>7.2316616749999992E-5</v>
      </c>
      <c r="J237" s="47">
        <f t="shared" si="110"/>
        <v>1.1721701944070057E-4</v>
      </c>
    </row>
    <row r="238" spans="1:10">
      <c r="A238" s="4"/>
      <c r="B238" s="4" t="s">
        <v>105</v>
      </c>
      <c r="C238" s="46">
        <f>'Intermediate calcs'!C291*VLOOKUP(IF(ISBLANK($A238),$B238,$A238),Radionuclide_specific,8,FALSE)*VLOOKUP($B$226,Other_regional_data,5,FALSE)*VLOOKUP($B$226,Interim_regional_data,5,FALSE)*VLOOKUP($B$226,Other_regional_data,8,FALSE)</f>
        <v>0</v>
      </c>
      <c r="D238" s="46">
        <f>'Intermediate calcs'!D291*VLOOKUP(IF(ISBLANK($A238),$B238,$A238),Radionuclide_specific,8,FALSE)*VLOOKUP($B$226,Other_regional_data,5,FALSE)*VLOOKUP($B$226,Interim_regional_data,6,FALSE)*VLOOKUP($B$226,Other_regional_data,9,FALSE)</f>
        <v>0</v>
      </c>
      <c r="E238" s="47">
        <f t="shared" si="108"/>
        <v>0</v>
      </c>
      <c r="F238" s="47">
        <f t="shared" si="108"/>
        <v>0</v>
      </c>
      <c r="G238" s="46">
        <f t="shared" si="108"/>
        <v>0</v>
      </c>
      <c r="H238" s="46">
        <f t="shared" si="108"/>
        <v>0</v>
      </c>
      <c r="I238" s="47">
        <f t="shared" si="109"/>
        <v>0</v>
      </c>
      <c r="J238" s="47">
        <f t="shared" si="110"/>
        <v>0</v>
      </c>
    </row>
    <row r="239" spans="1:10">
      <c r="A239" s="4" t="s">
        <v>66</v>
      </c>
      <c r="B239" s="4"/>
      <c r="C239" s="46">
        <f>'Intermediate calcs'!C292*VLOOKUP(IF(ISBLANK($A239),$B239,$A239),Radionuclide_specific,8,FALSE)*VLOOKUP($B$226,Other_regional_data,5,FALSE)*VLOOKUP($B$226,Interim_regional_data,5,FALSE)*VLOOKUP($B$226,Other_regional_data,8,FALSE)</f>
        <v>0</v>
      </c>
      <c r="D239" s="46">
        <f>'Intermediate calcs'!D292*VLOOKUP(IF(ISBLANK($A239),$B239,$A239),Radionuclide_specific,8,FALSE)*VLOOKUP($B$226,Other_regional_data,5,FALSE)*VLOOKUP($B$226,Interim_regional_data,6,FALSE)*VLOOKUP($B$226,Other_regional_data,9,FALSE)</f>
        <v>1.5669939974966559E-7</v>
      </c>
      <c r="E239" s="47">
        <f t="shared" si="108"/>
        <v>2.3475609756097559E-6</v>
      </c>
      <c r="F239" s="47">
        <f t="shared" si="108"/>
        <v>1.1323529411764707E-7</v>
      </c>
      <c r="G239" s="46">
        <f t="shared" si="108"/>
        <v>1.1920607999999999E-5</v>
      </c>
      <c r="H239" s="46">
        <f t="shared" si="108"/>
        <v>1.1920607999999999E-5</v>
      </c>
      <c r="I239" s="47">
        <f t="shared" si="109"/>
        <v>1.4268168975609756E-5</v>
      </c>
      <c r="J239" s="47">
        <f t="shared" si="110"/>
        <v>1.2190542693867311E-5</v>
      </c>
    </row>
    <row r="240" spans="1:10">
      <c r="A240" s="4"/>
      <c r="B240" s="4" t="s">
        <v>106</v>
      </c>
      <c r="C240" s="46">
        <f>'Intermediate calcs'!C293*VLOOKUP(IF(ISBLANK($A240),$B240,$A240),Radionuclide_specific,8,FALSE)*VLOOKUP($B$226,Other_regional_data,5,FALSE)*VLOOKUP($B$226,Interim_regional_data,5,FALSE)*VLOOKUP($B$226,Other_regional_data,8,FALSE)</f>
        <v>0</v>
      </c>
      <c r="D240" s="46">
        <f>'Intermediate calcs'!D293*VLOOKUP(IF(ISBLANK($A240),$B240,$A240),Radionuclide_specific,8,FALSE)*VLOOKUP($B$226,Other_regional_data,5,FALSE)*VLOOKUP($B$226,Interim_regional_data,6,FALSE)*VLOOKUP($B$226,Other_regional_data,9,FALSE)</f>
        <v>0</v>
      </c>
      <c r="E240" s="47">
        <f t="shared" si="108"/>
        <v>0</v>
      </c>
      <c r="F240" s="47">
        <f t="shared" si="108"/>
        <v>0</v>
      </c>
      <c r="G240" s="46">
        <f t="shared" si="108"/>
        <v>0</v>
      </c>
      <c r="H240" s="46">
        <f t="shared" si="108"/>
        <v>0</v>
      </c>
      <c r="I240" s="47">
        <f t="shared" si="109"/>
        <v>0</v>
      </c>
      <c r="J240" s="47">
        <f t="shared" si="110"/>
        <v>0</v>
      </c>
    </row>
    <row r="241" spans="1:10">
      <c r="A241" s="4" t="s">
        <v>67</v>
      </c>
      <c r="B241" s="4"/>
      <c r="C241" s="46">
        <f>'Intermediate calcs'!C294*VLOOKUP(IF(ISBLANK($A241),$B241,$A241),Radionuclide_specific,8,FALSE)*VLOOKUP($B$226,Other_regional_data,5,FALSE)*VLOOKUP($B$226,Interim_regional_data,5,FALSE)*VLOOKUP($B$226,Other_regional_data,8,FALSE)</f>
        <v>0</v>
      </c>
      <c r="D241" s="46">
        <f>'Intermediate calcs'!D294*VLOOKUP(IF(ISBLANK($A241),$B241,$A241),Radionuclide_specific,8,FALSE)*VLOOKUP($B$226,Other_regional_data,5,FALSE)*VLOOKUP($B$226,Interim_regional_data,6,FALSE)*VLOOKUP($B$226,Other_regional_data,9,FALSE)</f>
        <v>1.5182400212379962E-4</v>
      </c>
      <c r="E241" s="47">
        <f t="shared" si="108"/>
        <v>3.0330882352941179E-5</v>
      </c>
      <c r="F241" s="47">
        <f t="shared" si="108"/>
        <v>5.1562499999999991E-6</v>
      </c>
      <c r="G241" s="46">
        <f t="shared" si="108"/>
        <v>2.8098576000000003E-4</v>
      </c>
      <c r="H241" s="46">
        <f t="shared" si="108"/>
        <v>2.8098576000000003E-4</v>
      </c>
      <c r="I241" s="47">
        <f t="shared" si="109"/>
        <v>3.113166423529412E-4</v>
      </c>
      <c r="J241" s="47">
        <f t="shared" si="110"/>
        <v>4.3796601212379966E-4</v>
      </c>
    </row>
    <row r="242" spans="1:10">
      <c r="A242" s="4" t="s">
        <v>239</v>
      </c>
      <c r="B242" s="4"/>
      <c r="C242" s="46">
        <f>'Intermediate calcs'!C295*VLOOKUP(IF(ISBLANK($A242),$B242,$A242),Radionuclide_specific,8,FALSE)*VLOOKUP($B$226,Other_regional_data,5,FALSE)*VLOOKUP($B$226,Interim_regional_data,5,FALSE)*VLOOKUP($B$226,Other_regional_data,8,FALSE)</f>
        <v>0</v>
      </c>
      <c r="D242" s="46">
        <f>'Intermediate calcs'!D295*VLOOKUP(IF(ISBLANK($A242),$B242,$A242),Radionuclide_specific,8,FALSE)*VLOOKUP($B$226,Other_regional_data,5,FALSE)*VLOOKUP($B$226,Interim_regional_data,6,FALSE)*VLOOKUP($B$226,Other_regional_data,9,FALSE)</f>
        <v>1.9318476977609963E-7</v>
      </c>
      <c r="E242" s="47">
        <f t="shared" si="108"/>
        <v>5.5147058823529418E-7</v>
      </c>
      <c r="F242" s="47">
        <f t="shared" si="108"/>
        <v>9.3750000000000002E-8</v>
      </c>
      <c r="G242" s="46">
        <f t="shared" si="108"/>
        <v>5.108832000000001E-6</v>
      </c>
      <c r="H242" s="46">
        <f t="shared" si="108"/>
        <v>5.108832000000001E-6</v>
      </c>
      <c r="I242" s="47">
        <f t="shared" ref="I242" si="115">C242+E242+G242</f>
        <v>5.6603025882352951E-6</v>
      </c>
      <c r="J242" s="47">
        <f t="shared" ref="J242" si="116">D242+F242+H242</f>
        <v>5.3957667697761008E-6</v>
      </c>
    </row>
    <row r="243" spans="1:10" s="114" customFormat="1">
      <c r="A243" s="88" t="s">
        <v>177</v>
      </c>
      <c r="B243" s="88"/>
      <c r="C243" s="89">
        <f>'Intermediate calcs'!C296*VLOOKUP(IF(ISBLANK($A243),$B243,$A243),Radionuclide_specific,8,FALSE)*VLOOKUP($B$226,Other_regional_data,5,FALSE)*VLOOKUP($B$226,Interim_regional_data,5,FALSE)*VLOOKUP($B$226,Other_regional_data,8,FALSE)</f>
        <v>0</v>
      </c>
      <c r="D243" s="89">
        <f>'Intermediate calcs'!D296*VLOOKUP(IF(ISBLANK($A243),$B243,$A243),Radionuclide_specific,8,FALSE)*VLOOKUP($B$226,Other_regional_data,5,FALSE)*VLOOKUP($B$226,Interim_regional_data,6,FALSE)*VLOOKUP($B$226,Other_regional_data,9,FALSE)</f>
        <v>2.1353326033663897E-5</v>
      </c>
      <c r="E243" s="90">
        <f t="shared" si="108"/>
        <v>3.0063291139240513E-4</v>
      </c>
      <c r="F243" s="90">
        <f t="shared" si="108"/>
        <v>1.5322580645161292E-5</v>
      </c>
      <c r="G243" s="89">
        <f t="shared" si="108"/>
        <v>4.8533904000000011E-5</v>
      </c>
      <c r="H243" s="89">
        <f t="shared" si="108"/>
        <v>4.8533904000000011E-5</v>
      </c>
      <c r="I243" s="90">
        <f t="shared" si="109"/>
        <v>3.4916681539240511E-4</v>
      </c>
      <c r="J243" s="90">
        <f t="shared" si="110"/>
        <v>8.5209810678825193E-5</v>
      </c>
    </row>
    <row r="244" spans="1:10">
      <c r="A244" s="4" t="s">
        <v>12</v>
      </c>
      <c r="B244" s="4"/>
      <c r="C244" s="46">
        <f>'Intermediate calcs'!C297*VLOOKUP(IF(ISBLANK($A244),$B244,$A244),Radionuclide_specific,8,FALSE)*VLOOKUP($B$226,Other_regional_data,5,FALSE)*VLOOKUP($B$226,Interim_regional_data,5,FALSE)*VLOOKUP($B$226,Other_regional_data,8,FALSE)</f>
        <v>0</v>
      </c>
      <c r="D244" s="46">
        <f>'Intermediate calcs'!D297*VLOOKUP(IF(ISBLANK($A244),$B244,$A244),Radionuclide_specific,8,FALSE)*VLOOKUP($B$226,Other_regional_data,5,FALSE)*VLOOKUP($B$226,Interim_regional_data,6,FALSE)*VLOOKUP($B$226,Other_regional_data,9,FALSE)</f>
        <v>1.7526253343312733E-5</v>
      </c>
      <c r="E244" s="47">
        <f t="shared" si="108"/>
        <v>2.0569620253164559E-4</v>
      </c>
      <c r="F244" s="47">
        <f t="shared" si="108"/>
        <v>1.0483870967741936E-5</v>
      </c>
      <c r="G244" s="46">
        <f t="shared" si="108"/>
        <v>3.3207408000000005E-5</v>
      </c>
      <c r="H244" s="46">
        <f t="shared" si="108"/>
        <v>3.3207408000000005E-5</v>
      </c>
      <c r="I244" s="47">
        <f t="shared" si="109"/>
        <v>2.3890361053164558E-4</v>
      </c>
      <c r="J244" s="47">
        <f t="shared" si="110"/>
        <v>6.1217532311054671E-5</v>
      </c>
    </row>
    <row r="245" spans="1:10">
      <c r="A245" s="4"/>
      <c r="B245" s="4" t="s">
        <v>107</v>
      </c>
      <c r="C245" s="46">
        <f>'Intermediate calcs'!C298*VLOOKUP(IF(ISBLANK($A245),$B245,$A245),Radionuclide_specific,8,FALSE)*VLOOKUP($B$226,Other_regional_data,5,FALSE)*VLOOKUP($B$226,Interim_regional_data,5,FALSE)*VLOOKUP($B$226,Other_regional_data,8,FALSE)</f>
        <v>0</v>
      </c>
      <c r="D245" s="46">
        <f>'Intermediate calcs'!D298*VLOOKUP(IF(ISBLANK($A245),$B245,$A245),Radionuclide_specific,8,FALSE)*VLOOKUP($B$226,Other_regional_data,5,FALSE)*VLOOKUP($B$226,Interim_regional_data,6,FALSE)*VLOOKUP($B$226,Other_regional_data,9,FALSE)</f>
        <v>0</v>
      </c>
      <c r="E245" s="47">
        <f t="shared" si="108"/>
        <v>0</v>
      </c>
      <c r="F245" s="47">
        <f t="shared" si="108"/>
        <v>0</v>
      </c>
      <c r="G245" s="46">
        <f t="shared" si="108"/>
        <v>0</v>
      </c>
      <c r="H245" s="46">
        <f t="shared" si="108"/>
        <v>0</v>
      </c>
      <c r="I245" s="47">
        <f t="shared" si="109"/>
        <v>0</v>
      </c>
      <c r="J245" s="47">
        <f t="shared" si="110"/>
        <v>0</v>
      </c>
    </row>
    <row r="246" spans="1:10">
      <c r="A246" s="4" t="s">
        <v>22</v>
      </c>
      <c r="B246" s="4"/>
      <c r="C246" s="46">
        <f>'Intermediate calcs'!C299*VLOOKUP(IF(ISBLANK($A246),$B246,$A246),Radionuclide_specific,8,FALSE)*VLOOKUP($B$226,Other_regional_data,5,FALSE)*VLOOKUP($B$226,Interim_regional_data,5,FALSE)*VLOOKUP($B$226,Other_regional_data,8,FALSE)</f>
        <v>0</v>
      </c>
      <c r="D246" s="46">
        <f>'Intermediate calcs'!D299*VLOOKUP(IF(ISBLANK($A246),$B246,$A246),Radionuclide_specific,8,FALSE)*VLOOKUP($B$226,Other_regional_data,5,FALSE)*VLOOKUP($B$226,Interim_regional_data,6,FALSE)*VLOOKUP($B$226,Other_regional_data,9,FALSE)</f>
        <v>6.4911455996213366E-5</v>
      </c>
      <c r="E246" s="47">
        <f t="shared" si="108"/>
        <v>1.4374999999999997E-4</v>
      </c>
      <c r="F246" s="47">
        <f t="shared" si="108"/>
        <v>1.4374999999999999E-5</v>
      </c>
      <c r="G246" s="46">
        <f t="shared" si="108"/>
        <v>1.1750313599999999E-3</v>
      </c>
      <c r="H246" s="46">
        <f t="shared" si="108"/>
        <v>1.1750313599999999E-3</v>
      </c>
      <c r="I246" s="47">
        <f t="shared" si="109"/>
        <v>1.3187813599999999E-3</v>
      </c>
      <c r="J246" s="47">
        <f t="shared" si="110"/>
        <v>1.2543178159962133E-3</v>
      </c>
    </row>
    <row r="247" spans="1:10">
      <c r="A247" s="4" t="s">
        <v>19</v>
      </c>
      <c r="B247" s="4"/>
      <c r="C247" s="46">
        <f>'Intermediate calcs'!C300*VLOOKUP(IF(ISBLANK($A247),$B247,$A247),Radionuclide_specific,8,FALSE)*VLOOKUP($B$226,Other_regional_data,5,FALSE)*VLOOKUP($B$226,Interim_regional_data,5,FALSE)*VLOOKUP($B$226,Other_regional_data,8,FALSE)</f>
        <v>0</v>
      </c>
      <c r="D247" s="46">
        <f>'Intermediate calcs'!D300*VLOOKUP(IF(ISBLANK($A247),$B247,$A247),Radionuclide_specific,8,FALSE)*VLOOKUP($B$226,Other_regional_data,5,FALSE)*VLOOKUP($B$226,Interim_regional_data,6,FALSE)*VLOOKUP($B$226,Other_regional_data,9,FALSE)</f>
        <v>1.3568712265790501E-5</v>
      </c>
      <c r="E247" s="47">
        <f t="shared" si="108"/>
        <v>2.3999999999999998E-4</v>
      </c>
      <c r="F247" s="47">
        <f t="shared" si="108"/>
        <v>1.0285714285714285E-5</v>
      </c>
      <c r="G247" s="46">
        <f t="shared" si="108"/>
        <v>2.0435328000000001E-3</v>
      </c>
      <c r="H247" s="46">
        <f t="shared" si="108"/>
        <v>2.0435328000000001E-3</v>
      </c>
      <c r="I247" s="47">
        <f t="shared" si="109"/>
        <v>2.2835327999999998E-3</v>
      </c>
      <c r="J247" s="47">
        <f t="shared" si="110"/>
        <v>2.0673872265515049E-3</v>
      </c>
    </row>
    <row r="248" spans="1:10">
      <c r="A248" s="4" t="s">
        <v>14</v>
      </c>
      <c r="B248" s="4"/>
      <c r="C248" s="46">
        <f>'Intermediate calcs'!C301*VLOOKUP(IF(ISBLANK($A248),$B248,$A248),Radionuclide_specific,8,FALSE)*VLOOKUP($B$226,Other_regional_data,5,FALSE)*VLOOKUP($B$226,Interim_regional_data,5,FALSE)*VLOOKUP($B$226,Other_regional_data,8,FALSE)</f>
        <v>0</v>
      </c>
      <c r="D248" s="46">
        <f>'Intermediate calcs'!D301*VLOOKUP(IF(ISBLANK($A248),$B248,$A248),Radionuclide_specific,8,FALSE)*VLOOKUP($B$226,Other_regional_data,5,FALSE)*VLOOKUP($B$226,Interim_regional_data,6,FALSE)*VLOOKUP($B$226,Other_regional_data,9,FALSE)</f>
        <v>1.6855600054872008E-4</v>
      </c>
      <c r="E248" s="47">
        <f t="shared" si="108"/>
        <v>9.7560975609756076E-6</v>
      </c>
      <c r="F248" s="47">
        <f t="shared" si="108"/>
        <v>1.1914893617021278E-6</v>
      </c>
      <c r="G248" s="46">
        <f t="shared" si="108"/>
        <v>4.7682432000000006E-4</v>
      </c>
      <c r="H248" s="46">
        <f t="shared" si="108"/>
        <v>4.7682432000000006E-4</v>
      </c>
      <c r="I248" s="47">
        <f t="shared" si="109"/>
        <v>4.8658041756097567E-4</v>
      </c>
      <c r="J248" s="47">
        <f t="shared" si="110"/>
        <v>6.4657180991042223E-4</v>
      </c>
    </row>
    <row r="249" spans="1:10">
      <c r="A249" s="4" t="s">
        <v>156</v>
      </c>
      <c r="B249" s="4"/>
      <c r="C249" s="46">
        <f>'Intermediate calcs'!C302*VLOOKUP(IF(ISBLANK($A249),$B249,$A249),Radionuclide_specific,8,FALSE)*VLOOKUP($B$226,Other_regional_data,5,FALSE)*VLOOKUP($B$226,Interim_regional_data,5,FALSE)*VLOOKUP($B$226,Other_regional_data,8,FALSE)</f>
        <v>0</v>
      </c>
      <c r="D249" s="46">
        <f>'Intermediate calcs'!D302*VLOOKUP(IF(ISBLANK($A249),$B249,$A249),Radionuclide_specific,8,FALSE)*VLOOKUP($B$226,Other_regional_data,5,FALSE)*VLOOKUP($B$226,Interim_regional_data,6,FALSE)*VLOOKUP($B$226,Other_regional_data,9,FALSE)</f>
        <v>3.8117369325608845E-6</v>
      </c>
      <c r="E249" s="47">
        <f t="shared" ref="E249:H261" si="117">E212</f>
        <v>2.6249999999999999E-6</v>
      </c>
      <c r="F249" s="47">
        <f t="shared" si="117"/>
        <v>6.5624999999999994E-8</v>
      </c>
      <c r="G249" s="46">
        <f t="shared" si="117"/>
        <v>1.9867679999999998E-4</v>
      </c>
      <c r="H249" s="46">
        <f t="shared" si="117"/>
        <v>1.9867679999999998E-4</v>
      </c>
      <c r="I249" s="47">
        <f t="shared" si="109"/>
        <v>2.0130179999999998E-4</v>
      </c>
      <c r="J249" s="47">
        <f t="shared" si="110"/>
        <v>2.0255416193256087E-4</v>
      </c>
    </row>
    <row r="250" spans="1:10">
      <c r="A250" s="4" t="s">
        <v>20</v>
      </c>
      <c r="B250" s="4"/>
      <c r="C250" s="46">
        <f>'Intermediate calcs'!C303*VLOOKUP(IF(ISBLANK($A250),$B250,$A250),Radionuclide_specific,8,FALSE)*VLOOKUP($B$226,Other_regional_data,5,FALSE)*VLOOKUP($B$226,Interim_regional_data,5,FALSE)*VLOOKUP($B$226,Other_regional_data,8,FALSE)</f>
        <v>0</v>
      </c>
      <c r="D250" s="46">
        <f>'Intermediate calcs'!D303*VLOOKUP(IF(ISBLANK($A250),$B250,$A250),Radionuclide_specific,8,FALSE)*VLOOKUP($B$226,Other_regional_data,5,FALSE)*VLOOKUP($B$226,Interim_regional_data,6,FALSE)*VLOOKUP($B$226,Other_regional_data,9,FALSE)</f>
        <v>4.174759497566683E-6</v>
      </c>
      <c r="E250" s="47">
        <f t="shared" si="117"/>
        <v>2.875E-6</v>
      </c>
      <c r="F250" s="47">
        <f t="shared" si="117"/>
        <v>7.1875E-8</v>
      </c>
      <c r="G250" s="46">
        <f t="shared" si="117"/>
        <v>2.1759839999999997E-4</v>
      </c>
      <c r="H250" s="46">
        <f t="shared" si="117"/>
        <v>2.1759839999999997E-4</v>
      </c>
      <c r="I250" s="47">
        <f t="shared" si="109"/>
        <v>2.2047339999999998E-4</v>
      </c>
      <c r="J250" s="47">
        <f t="shared" si="110"/>
        <v>2.2184503449756667E-4</v>
      </c>
    </row>
    <row r="251" spans="1:10">
      <c r="A251" s="4"/>
      <c r="B251" s="4" t="s">
        <v>29</v>
      </c>
      <c r="C251" s="46">
        <f>'Intermediate calcs'!C304*VLOOKUP(IF(ISBLANK($A251),$B251,$A251),Radionuclide_specific,8,FALSE)*VLOOKUP($B$226,Other_regional_data,5,FALSE)*VLOOKUP($B$226,Interim_regional_data,5,FALSE)*VLOOKUP($B$226,Other_regional_data,8,FALSE)</f>
        <v>0</v>
      </c>
      <c r="D251" s="46">
        <f>'Intermediate calcs'!D304*VLOOKUP(IF(ISBLANK($A251),$B251,$A251),Radionuclide_specific,8,FALSE)*VLOOKUP($B$226,Other_regional_data,5,FALSE)*VLOOKUP($B$226,Interim_regional_data,6,FALSE)*VLOOKUP($B$226,Other_regional_data,9,FALSE)</f>
        <v>1.3835142445908248E-4</v>
      </c>
      <c r="E251" s="47">
        <f t="shared" si="117"/>
        <v>5.7499999999999992E-6</v>
      </c>
      <c r="F251" s="47">
        <f t="shared" si="117"/>
        <v>1.4375E-7</v>
      </c>
      <c r="G251" s="46">
        <f t="shared" si="117"/>
        <v>1.1750313599999999E-3</v>
      </c>
      <c r="H251" s="46">
        <f t="shared" si="117"/>
        <v>1.1750313599999999E-3</v>
      </c>
      <c r="I251" s="47">
        <f t="shared" si="109"/>
        <v>1.1807813599999998E-3</v>
      </c>
      <c r="J251" s="47">
        <f t="shared" si="110"/>
        <v>1.3135265344590822E-3</v>
      </c>
    </row>
    <row r="252" spans="1:10">
      <c r="A252" s="4"/>
      <c r="B252" s="4" t="s">
        <v>108</v>
      </c>
      <c r="C252" s="46">
        <f>'Intermediate calcs'!C305*VLOOKUP(IF(ISBLANK($A252),$B252,$A252),Radionuclide_specific,8,FALSE)*VLOOKUP($B$226,Other_regional_data,5,FALSE)*VLOOKUP($B$226,Interim_regional_data,5,FALSE)*VLOOKUP($B$226,Other_regional_data,8,FALSE)</f>
        <v>0</v>
      </c>
      <c r="D252" s="46">
        <f>'Intermediate calcs'!D305*VLOOKUP(IF(ISBLANK($A252),$B252,$A252),Radionuclide_specific,8,FALSE)*VLOOKUP($B$226,Other_regional_data,5,FALSE)*VLOOKUP($B$226,Interim_regional_data,6,FALSE)*VLOOKUP($B$226,Other_regional_data,9,FALSE)</f>
        <v>0</v>
      </c>
      <c r="E252" s="47">
        <f t="shared" si="117"/>
        <v>1.3437499999999999E-8</v>
      </c>
      <c r="F252" s="47">
        <f t="shared" si="117"/>
        <v>3.3593750000000006E-10</v>
      </c>
      <c r="G252" s="46">
        <f t="shared" si="117"/>
        <v>7.3226592000000011E-7</v>
      </c>
      <c r="H252" s="46">
        <f t="shared" si="117"/>
        <v>7.3226592000000011E-7</v>
      </c>
      <c r="I252" s="47">
        <f t="shared" si="109"/>
        <v>7.4570342000000014E-7</v>
      </c>
      <c r="J252" s="47">
        <f t="shared" si="110"/>
        <v>7.326018575000001E-7</v>
      </c>
    </row>
    <row r="253" spans="1:10">
      <c r="A253" s="4"/>
      <c r="B253" s="4" t="s">
        <v>109</v>
      </c>
      <c r="C253" s="46">
        <f>'Intermediate calcs'!C306*VLOOKUP(IF(ISBLANK($A253),$B253,$A253),Radionuclide_specific,8,FALSE)*VLOOKUP($B$226,Other_regional_data,5,FALSE)*VLOOKUP($B$226,Interim_regional_data,5,FALSE)*VLOOKUP($B$226,Other_regional_data,8,FALSE)</f>
        <v>0</v>
      </c>
      <c r="D253" s="46">
        <f>'Intermediate calcs'!D306*VLOOKUP(IF(ISBLANK($A253),$B253,$A253),Radionuclide_specific,8,FALSE)*VLOOKUP($B$226,Other_regional_data,5,FALSE)*VLOOKUP($B$226,Interim_regional_data,6,FALSE)*VLOOKUP($B$226,Other_regional_data,9,FALSE)</f>
        <v>8.8333964872028835E-7</v>
      </c>
      <c r="E253" s="47">
        <f t="shared" si="117"/>
        <v>8.9999999999999996E-7</v>
      </c>
      <c r="F253" s="47">
        <f t="shared" si="117"/>
        <v>2.25E-8</v>
      </c>
      <c r="G253" s="46">
        <f t="shared" si="117"/>
        <v>6.8117759999999997E-5</v>
      </c>
      <c r="H253" s="46">
        <f t="shared" si="117"/>
        <v>6.8117759999999997E-5</v>
      </c>
      <c r="I253" s="47">
        <f t="shared" si="109"/>
        <v>6.9017759999999992E-5</v>
      </c>
      <c r="J253" s="47">
        <f t="shared" si="110"/>
        <v>6.9023599648720279E-5</v>
      </c>
    </row>
    <row r="254" spans="1:10">
      <c r="A254" s="4"/>
      <c r="B254" s="4" t="s">
        <v>110</v>
      </c>
      <c r="C254" s="46">
        <f>'Intermediate calcs'!C307*VLOOKUP(IF(ISBLANK($A254),$B254,$A254),Radionuclide_specific,8,FALSE)*VLOOKUP($B$226,Other_regional_data,5,FALSE)*VLOOKUP($B$226,Interim_regional_data,5,FALSE)*VLOOKUP($B$226,Other_regional_data,8,FALSE)</f>
        <v>0</v>
      </c>
      <c r="D254" s="46">
        <f>'Intermediate calcs'!D307*VLOOKUP(IF(ISBLANK($A254),$B254,$A254),Radionuclide_specific,8,FALSE)*VLOOKUP($B$226,Other_regional_data,5,FALSE)*VLOOKUP($B$226,Interim_regional_data,6,FALSE)*VLOOKUP($B$226,Other_regional_data,9,FALSE)</f>
        <v>2.2385628535666517E-9</v>
      </c>
      <c r="E254" s="47">
        <f t="shared" si="117"/>
        <v>3.1249999999999992E-7</v>
      </c>
      <c r="F254" s="47">
        <f t="shared" si="117"/>
        <v>7.8125000000000013E-9</v>
      </c>
      <c r="G254" s="46">
        <f t="shared" si="117"/>
        <v>1.0217664E-5</v>
      </c>
      <c r="H254" s="46">
        <f t="shared" si="117"/>
        <v>1.0217664E-5</v>
      </c>
      <c r="I254" s="47">
        <f t="shared" si="109"/>
        <v>1.0530163999999999E-5</v>
      </c>
      <c r="J254" s="47">
        <f t="shared" si="110"/>
        <v>1.0227715062853566E-5</v>
      </c>
    </row>
    <row r="255" spans="1:10">
      <c r="A255" s="4" t="s">
        <v>111</v>
      </c>
      <c r="B255" s="4"/>
      <c r="C255" s="46">
        <f>'Intermediate calcs'!C308*VLOOKUP(IF(ISBLANK($A255),$B255,$A255),Radionuclide_specific,8,FALSE)*VLOOKUP($B$226,Other_regional_data,5,FALSE)*VLOOKUP($B$226,Interim_regional_data,5,FALSE)*VLOOKUP($B$226,Other_regional_data,8,FALSE)</f>
        <v>0</v>
      </c>
      <c r="D255" s="46">
        <f>'Intermediate calcs'!D308*VLOOKUP(IF(ISBLANK($A255),$B255,$A255),Radionuclide_specific,8,FALSE)*VLOOKUP($B$226,Other_regional_data,5,FALSE)*VLOOKUP($B$226,Interim_regional_data,6,FALSE)*VLOOKUP($B$226,Other_regional_data,9,FALSE)</f>
        <v>6.2359311229621523E-6</v>
      </c>
      <c r="E255" s="47">
        <f t="shared" si="117"/>
        <v>4.6993006993006993E-7</v>
      </c>
      <c r="F255" s="47">
        <f t="shared" si="117"/>
        <v>2.294634146341464E-7</v>
      </c>
      <c r="G255" s="46">
        <f t="shared" si="117"/>
        <v>4.6357919999999993E-5</v>
      </c>
      <c r="H255" s="46">
        <f t="shared" si="117"/>
        <v>4.6357919999999993E-5</v>
      </c>
      <c r="I255" s="47">
        <f t="shared" si="109"/>
        <v>4.682785006993006E-5</v>
      </c>
      <c r="J255" s="47">
        <f t="shared" si="110"/>
        <v>5.2823314537596292E-5</v>
      </c>
    </row>
    <row r="256" spans="1:10">
      <c r="A256" s="4" t="s">
        <v>30</v>
      </c>
      <c r="B256" s="4"/>
      <c r="C256" s="46">
        <f>'Intermediate calcs'!C309*VLOOKUP(IF(ISBLANK($A256),$B256,$A256),Radionuclide_specific,8,FALSE)*VLOOKUP($B$226,Other_regional_data,5,FALSE)*VLOOKUP($B$226,Interim_regional_data,5,FALSE)*VLOOKUP($B$226,Other_regional_data,8,FALSE)</f>
        <v>0</v>
      </c>
      <c r="D256" s="46">
        <f>'Intermediate calcs'!D309*VLOOKUP(IF(ISBLANK($A256),$B256,$A256),Radionuclide_specific,8,FALSE)*VLOOKUP($B$226,Other_regional_data,5,FALSE)*VLOOKUP($B$226,Interim_regional_data,6,FALSE)*VLOOKUP($B$226,Other_regional_data,9,FALSE)</f>
        <v>5.7268755210876914E-6</v>
      </c>
      <c r="E256" s="47">
        <f t="shared" si="117"/>
        <v>4.315684315684316E-7</v>
      </c>
      <c r="F256" s="47">
        <f t="shared" si="117"/>
        <v>2.1073170731707321E-7</v>
      </c>
      <c r="G256" s="46">
        <f t="shared" si="117"/>
        <v>4.2573600000000002E-5</v>
      </c>
      <c r="H256" s="46">
        <f t="shared" si="117"/>
        <v>4.2573600000000002E-5</v>
      </c>
      <c r="I256" s="47">
        <f t="shared" si="109"/>
        <v>4.3005168431568435E-5</v>
      </c>
      <c r="J256" s="47">
        <f t="shared" si="110"/>
        <v>4.8511207228404768E-5</v>
      </c>
    </row>
    <row r="257" spans="1:10">
      <c r="A257" s="4"/>
      <c r="B257" s="4" t="s">
        <v>31</v>
      </c>
      <c r="C257" s="46">
        <f>'Intermediate calcs'!C310*VLOOKUP(IF(ISBLANK($A257),$B257,$A257),Radionuclide_specific,8,FALSE)*VLOOKUP($B$226,Other_regional_data,5,FALSE)*VLOOKUP($B$226,Interim_regional_data,5,FALSE)*VLOOKUP($B$226,Other_regional_data,8,FALSE)</f>
        <v>0</v>
      </c>
      <c r="D257" s="46">
        <f>'Intermediate calcs'!D310*VLOOKUP(IF(ISBLANK($A257),$B257,$A257),Radionuclide_specific,8,FALSE)*VLOOKUP($B$226,Other_regional_data,5,FALSE)*VLOOKUP($B$226,Interim_regional_data,6,FALSE)*VLOOKUP($B$226,Other_regional_data,9,FALSE)</f>
        <v>2.6226434740456743E-8</v>
      </c>
      <c r="E257" s="47">
        <f t="shared" si="117"/>
        <v>2.0379620379620385E-7</v>
      </c>
      <c r="F257" s="47">
        <f t="shared" si="117"/>
        <v>9.9512195121951228E-8</v>
      </c>
      <c r="G257" s="46">
        <f t="shared" si="117"/>
        <v>3.2166719999999997E-6</v>
      </c>
      <c r="H257" s="46">
        <f t="shared" si="117"/>
        <v>3.2166719999999997E-6</v>
      </c>
      <c r="I257" s="47">
        <f t="shared" si="109"/>
        <v>3.4204682037962034E-6</v>
      </c>
      <c r="J257" s="47">
        <f t="shared" si="110"/>
        <v>3.3424106298624077E-6</v>
      </c>
    </row>
    <row r="258" spans="1:10">
      <c r="A258" s="4"/>
      <c r="B258" s="4" t="s">
        <v>32</v>
      </c>
      <c r="C258" s="46">
        <f>'Intermediate calcs'!C311*VLOOKUP(IF(ISBLANK($A258),$B258,$A258),Radionuclide_specific,8,FALSE)*VLOOKUP($B$226,Other_regional_data,5,FALSE)*VLOOKUP($B$226,Interim_regional_data,5,FALSE)*VLOOKUP($B$226,Other_regional_data,8,FALSE)</f>
        <v>0</v>
      </c>
      <c r="D258" s="46">
        <f>'Intermediate calcs'!D311*VLOOKUP(IF(ISBLANK($A258),$B258,$A258),Radionuclide_specific,8,FALSE)*VLOOKUP($B$226,Other_regional_data,5,FALSE)*VLOOKUP($B$226,Interim_regional_data,6,FALSE)*VLOOKUP($B$226,Other_regional_data,9,FALSE)</f>
        <v>0</v>
      </c>
      <c r="E258" s="47">
        <f t="shared" si="117"/>
        <v>0</v>
      </c>
      <c r="F258" s="47">
        <f t="shared" si="117"/>
        <v>0</v>
      </c>
      <c r="G258" s="46">
        <f t="shared" si="117"/>
        <v>0</v>
      </c>
      <c r="H258" s="46">
        <f t="shared" si="117"/>
        <v>0</v>
      </c>
      <c r="I258" s="47">
        <f t="shared" si="109"/>
        <v>0</v>
      </c>
      <c r="J258" s="47">
        <f t="shared" si="110"/>
        <v>0</v>
      </c>
    </row>
    <row r="259" spans="1:10">
      <c r="A259" s="4" t="s">
        <v>13</v>
      </c>
      <c r="C259" s="46">
        <f>'Intermediate calcs'!C312*VLOOKUP(IF(ISBLANK($A259),$B259,$A259),Radionuclide_specific,8,FALSE)*VLOOKUP($B$226,Other_regional_data,5,FALSE)*VLOOKUP($B$226,Interim_regional_data,5,FALSE)*VLOOKUP($B$226,Other_regional_data,8,FALSE)</f>
        <v>0</v>
      </c>
      <c r="D259" s="46">
        <f>'Intermediate calcs'!D312*VLOOKUP(IF(ISBLANK($A259),$B259,$A259),Radionuclide_specific,8,FALSE)*VLOOKUP($B$226,Other_regional_data,5,FALSE)*VLOOKUP($B$226,Interim_regional_data,6,FALSE)*VLOOKUP($B$226,Other_regional_data,9,FALSE)</f>
        <v>5.9511895902589918E-6</v>
      </c>
      <c r="E259" s="47">
        <f t="shared" si="117"/>
        <v>1.293103448275862E-5</v>
      </c>
      <c r="F259" s="47">
        <f t="shared" si="117"/>
        <v>3.0991735537190077E-7</v>
      </c>
      <c r="G259" s="46">
        <f t="shared" si="117"/>
        <v>2.1286800000000001E-4</v>
      </c>
      <c r="H259" s="46">
        <f t="shared" si="117"/>
        <v>2.1286800000000001E-4</v>
      </c>
      <c r="I259" s="47">
        <f t="shared" si="109"/>
        <v>2.2579903448275863E-4</v>
      </c>
      <c r="J259" s="47">
        <f t="shared" si="110"/>
        <v>2.1912910694563091E-4</v>
      </c>
    </row>
    <row r="260" spans="1:10">
      <c r="A260" t="s">
        <v>18</v>
      </c>
      <c r="C260" s="46">
        <f>'Intermediate calcs'!C313*VLOOKUP(IF(ISBLANK($A260),$B260,$A260),Radionuclide_specific,8,FALSE)*VLOOKUP($B$226,Other_regional_data,5,FALSE)*VLOOKUP($B$226,Interim_regional_data,5,FALSE)*VLOOKUP($B$226,Other_regional_data,8,FALSE)</f>
        <v>0</v>
      </c>
      <c r="D260" s="46">
        <f>'Intermediate calcs'!D313*VLOOKUP(IF(ISBLANK($A260),$B260,$A260),Radionuclide_specific,8,FALSE)*VLOOKUP($B$226,Other_regional_data,5,FALSE)*VLOOKUP($B$226,Interim_regional_data,6,FALSE)*VLOOKUP($B$226,Other_regional_data,9,FALSE)</f>
        <v>5.9511895902589918E-6</v>
      </c>
      <c r="E260" s="47">
        <f t="shared" si="117"/>
        <v>1.293103448275862E-5</v>
      </c>
      <c r="F260" s="47">
        <f t="shared" si="117"/>
        <v>3.0991735537190077E-7</v>
      </c>
      <c r="G260" s="46">
        <f t="shared" si="117"/>
        <v>2.1286800000000001E-4</v>
      </c>
      <c r="H260" s="46">
        <f t="shared" si="117"/>
        <v>2.1286800000000001E-4</v>
      </c>
      <c r="I260" s="47">
        <f t="shared" si="109"/>
        <v>2.2579903448275863E-4</v>
      </c>
      <c r="J260" s="47">
        <f t="shared" si="110"/>
        <v>2.1912910694563091E-4</v>
      </c>
    </row>
    <row r="261" spans="1:10">
      <c r="A261" t="s">
        <v>9</v>
      </c>
      <c r="C261" s="46">
        <f>'Intermediate calcs'!C314*VLOOKUP(IF(ISBLANK($A261),$B261,$A261),Radionuclide_specific,8,FALSE)*VLOOKUP($B$226,Other_regional_data,5,FALSE)*VLOOKUP($B$226,Interim_regional_data,5,FALSE)*VLOOKUP($B$226,Other_regional_data,8,FALSE)</f>
        <v>0</v>
      </c>
      <c r="D261" s="46">
        <f>'Intermediate calcs'!D314*VLOOKUP(IF(ISBLANK($A261),$B261,$A261),Radionuclide_specific,8,FALSE)*VLOOKUP($B$226,Other_regional_data,5,FALSE)*VLOOKUP($B$226,Interim_regional_data,6,FALSE)*VLOOKUP($B$226,Other_regional_data,9,FALSE)</f>
        <v>6.7752004566025453E-6</v>
      </c>
      <c r="E261" s="47">
        <f t="shared" si="117"/>
        <v>1.4117647058823528E-4</v>
      </c>
      <c r="F261" s="47">
        <f t="shared" si="117"/>
        <v>3.934426229508197E-6</v>
      </c>
      <c r="G261" s="46">
        <f t="shared" si="117"/>
        <v>1.7029440000000001E-4</v>
      </c>
      <c r="H261" s="46">
        <f t="shared" si="117"/>
        <v>1.7029440000000001E-4</v>
      </c>
      <c r="I261" s="47">
        <f t="shared" si="109"/>
        <v>3.1147087058823529E-4</v>
      </c>
      <c r="J261" s="47">
        <f t="shared" si="110"/>
        <v>1.8100402668611075E-4</v>
      </c>
    </row>
  </sheetData>
  <mergeCells count="63">
    <mergeCell ref="I190:J190"/>
    <mergeCell ref="C189:D189"/>
    <mergeCell ref="E189:H189"/>
    <mergeCell ref="C152:D152"/>
    <mergeCell ref="E152:H152"/>
    <mergeCell ref="I153:J153"/>
    <mergeCell ref="I189:J189"/>
    <mergeCell ref="G190:H190"/>
    <mergeCell ref="I152:J152"/>
    <mergeCell ref="A190:A191"/>
    <mergeCell ref="B190:B191"/>
    <mergeCell ref="C190:D190"/>
    <mergeCell ref="E190:F190"/>
    <mergeCell ref="G153:H153"/>
    <mergeCell ref="A153:A154"/>
    <mergeCell ref="B153:B154"/>
    <mergeCell ref="C153:D153"/>
    <mergeCell ref="E153:F153"/>
    <mergeCell ref="A79:A80"/>
    <mergeCell ref="B79:B80"/>
    <mergeCell ref="C79:D79"/>
    <mergeCell ref="E79:F79"/>
    <mergeCell ref="I116:J116"/>
    <mergeCell ref="G79:H79"/>
    <mergeCell ref="A116:A117"/>
    <mergeCell ref="B116:B117"/>
    <mergeCell ref="C116:D116"/>
    <mergeCell ref="E116:F116"/>
    <mergeCell ref="G116:H116"/>
    <mergeCell ref="I78:J78"/>
    <mergeCell ref="C78:D78"/>
    <mergeCell ref="E78:H78"/>
    <mergeCell ref="I79:J79"/>
    <mergeCell ref="I115:J115"/>
    <mergeCell ref="C115:D115"/>
    <mergeCell ref="E115:H115"/>
    <mergeCell ref="I41:J41"/>
    <mergeCell ref="A42:A43"/>
    <mergeCell ref="B42:B43"/>
    <mergeCell ref="C42:D42"/>
    <mergeCell ref="E42:F42"/>
    <mergeCell ref="I42:J42"/>
    <mergeCell ref="G42:H42"/>
    <mergeCell ref="C41:D41"/>
    <mergeCell ref="E41:H41"/>
    <mergeCell ref="I4:J4"/>
    <mergeCell ref="A5:A6"/>
    <mergeCell ref="B5:B6"/>
    <mergeCell ref="E5:F5"/>
    <mergeCell ref="C5:D5"/>
    <mergeCell ref="G5:H5"/>
    <mergeCell ref="I5:J5"/>
    <mergeCell ref="C4:D4"/>
    <mergeCell ref="E4:H4"/>
    <mergeCell ref="C226:D226"/>
    <mergeCell ref="E226:H226"/>
    <mergeCell ref="I226:J226"/>
    <mergeCell ref="A227:A228"/>
    <mergeCell ref="B227:B228"/>
    <mergeCell ref="C227:D227"/>
    <mergeCell ref="E227:F227"/>
    <mergeCell ref="G227:H227"/>
    <mergeCell ref="I227:J227"/>
  </mergeCells>
  <hyperlinks>
    <hyperlink ref="A2" location="Status!A1" display="Back to Status tab"/>
  </hyperlinks>
  <pageMargins left="0.25" right="0.25" top="0.75" bottom="0.75" header="0.3" footer="0.3"/>
  <pageSetup paperSize="9" orientation="portrait" r:id="rId1"/>
  <headerFooter>
    <oddHeader>&amp;CANNEX A: METHODOLOGY FOR ESTIMATING PUBLIC EXPOSURES DUE TO RADIOACTIVE DISCHARGES</oddHeader>
    <oddFooter>&amp;L&amp;F#&amp;A&amp;CPage &amp;P of &amp;N</oddFooter>
  </headerFooter>
  <rowBreaks count="6" manualBreakCount="6">
    <brk id="40" max="16383" man="1"/>
    <brk id="77" max="16383" man="1"/>
    <brk id="114" max="16383" man="1"/>
    <brk id="151" max="16383" man="1"/>
    <brk id="188" max="16383" man="1"/>
    <brk id="22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7</vt:i4>
      </vt:variant>
      <vt:variant>
        <vt:lpstr>Named Ranges</vt:lpstr>
      </vt:variant>
      <vt:variant>
        <vt:i4>52</vt:i4>
      </vt:variant>
    </vt:vector>
  </HeadingPairs>
  <TitlesOfParts>
    <vt:vector size="59" baseType="lpstr">
      <vt:lpstr>TITLE PAGE</vt:lpstr>
      <vt:lpstr>Status</vt:lpstr>
      <vt:lpstr>Radionuclides</vt:lpstr>
      <vt:lpstr>Other parameters</vt:lpstr>
      <vt:lpstr>Intermediate calcs</vt:lpstr>
      <vt:lpstr>Individual doses</vt:lpstr>
      <vt:lpstr>Collective doses</vt:lpstr>
      <vt:lpstr>Conc_Home</vt:lpstr>
      <vt:lpstr>Interim_Cuw_large</vt:lpstr>
      <vt:lpstr>Interim_Cuw_small</vt:lpstr>
      <vt:lpstr>Interim_dirr_large</vt:lpstr>
      <vt:lpstr>Interim_dirr_small</vt:lpstr>
      <vt:lpstr>Interim_regional_data</vt:lpstr>
      <vt:lpstr>Nuke_home</vt:lpstr>
      <vt:lpstr>Other_A_mun</vt:lpstr>
      <vt:lpstr>Other_alpha_large</vt:lpstr>
      <vt:lpstr>Other_alpha_small</vt:lpstr>
      <vt:lpstr>Other_CDc_cereal</vt:lpstr>
      <vt:lpstr>Other_CDc_veg</vt:lpstr>
      <vt:lpstr>Other_F_dw</vt:lpstr>
      <vt:lpstr>Other_F_geom</vt:lpstr>
      <vt:lpstr>Other_F_irr</vt:lpstr>
      <vt:lpstr>Other_F_local</vt:lpstr>
      <vt:lpstr>Other_Fc</vt:lpstr>
      <vt:lpstr>Other_Fr_large</vt:lpstr>
      <vt:lpstr>Other_Fr_small</vt:lpstr>
      <vt:lpstr>Other_gamma</vt:lpstr>
      <vt:lpstr>Other_home</vt:lpstr>
      <vt:lpstr>Other_I_irr</vt:lpstr>
      <vt:lpstr>Other_I_water</vt:lpstr>
      <vt:lpstr>Other_Lriver_large</vt:lpstr>
      <vt:lpstr>Other_Lriver_small</vt:lpstr>
      <vt:lpstr>Other_O_riverbank</vt:lpstr>
      <vt:lpstr>Other_P</vt:lpstr>
      <vt:lpstr>Other_P_river</vt:lpstr>
      <vt:lpstr>Other_Q</vt:lpstr>
      <vt:lpstr>Other_R_f</vt:lpstr>
      <vt:lpstr>Other_regional_data</vt:lpstr>
      <vt:lpstr>Other_RH</vt:lpstr>
      <vt:lpstr>other_rho_sed</vt:lpstr>
      <vt:lpstr>Other_Rp</vt:lpstr>
      <vt:lpstr>Other_sec_day</vt:lpstr>
      <vt:lpstr>Other_Sp_cereal</vt:lpstr>
      <vt:lpstr>Other_Sp_veg</vt:lpstr>
      <vt:lpstr>Other_T_dw</vt:lpstr>
      <vt:lpstr>Other_t_sed</vt:lpstr>
      <vt:lpstr>Other_WC_f</vt:lpstr>
      <vt:lpstr>Other_WCp_cereal</vt:lpstr>
      <vt:lpstr>Other_WCp_veg</vt:lpstr>
      <vt:lpstr>Other_WEQ_f</vt:lpstr>
      <vt:lpstr>Other_WEQp_cereal</vt:lpstr>
      <vt:lpstr>Other_WEQp_veg</vt:lpstr>
      <vt:lpstr>Other_Yffw_large</vt:lpstr>
      <vt:lpstr>Other_Yffw_small</vt:lpstr>
      <vt:lpstr>Other_yield_Ba137m</vt:lpstr>
      <vt:lpstr>'Intermediate calcs'!Print_Area</vt:lpstr>
      <vt:lpstr>Radionuclides!Print_Titles</vt:lpstr>
      <vt:lpstr>Radionuclide_specific</vt:lpstr>
      <vt:lpstr>Status_home</vt:lpstr>
    </vt:vector>
  </TitlesOfParts>
  <Manager>malcolm.crick@unscear.org</Manager>
  <Company>United Nations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Methodology for estimating public exposures due to radioactive discharges</dc:title>
  <dc:creator>Tracey Anderson</dc:creator>
  <cp:keywords>Published May 2018</cp:keywords>
  <cp:lastModifiedBy>Crick</cp:lastModifiedBy>
  <cp:lastPrinted>2018-05-31T04:42:23Z</cp:lastPrinted>
  <dcterms:created xsi:type="dcterms:W3CDTF">2011-09-16T08:03:23Z</dcterms:created>
  <dcterms:modified xsi:type="dcterms:W3CDTF">2018-05-31T05:25:04Z</dcterms:modified>
  <cp:category>Attachment 5 Workbook: Freshwater</cp:category>
</cp:coreProperties>
</file>